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8195" windowHeight="7995" activeTab="1"/>
  </bookViews>
  <sheets>
    <sheet name="2016 - 1st Q" sheetId="1" r:id="rId1"/>
    <sheet name="2016 - 2nd Q" sheetId="2" r:id="rId2"/>
  </sheets>
  <calcPr calcId="125725"/>
</workbook>
</file>

<file path=xl/calcChain.xml><?xml version="1.0" encoding="utf-8"?>
<calcChain xmlns="http://schemas.openxmlformats.org/spreadsheetml/2006/main">
  <c r="I10" i="2"/>
  <c r="I5"/>
  <c r="I11"/>
  <c r="R5"/>
  <c r="V17"/>
  <c r="T17"/>
  <c r="R17"/>
  <c r="J17"/>
  <c r="F17"/>
  <c r="E17"/>
  <c r="D17"/>
  <c r="C17"/>
  <c r="V18"/>
  <c r="T18"/>
  <c r="R18"/>
  <c r="J18"/>
  <c r="I18"/>
  <c r="F18"/>
  <c r="E18"/>
  <c r="D18"/>
  <c r="C18"/>
  <c r="V16"/>
  <c r="T16"/>
  <c r="R16"/>
  <c r="F16"/>
  <c r="E16"/>
  <c r="D16"/>
  <c r="C16"/>
  <c r="V13"/>
  <c r="T13"/>
  <c r="R13"/>
  <c r="P13"/>
  <c r="J13"/>
  <c r="I13"/>
  <c r="F13"/>
  <c r="E13"/>
  <c r="D13"/>
  <c r="C13"/>
  <c r="V14"/>
  <c r="T14"/>
  <c r="R14"/>
  <c r="J14"/>
  <c r="F14"/>
  <c r="E14"/>
  <c r="D14"/>
  <c r="C14"/>
  <c r="V15"/>
  <c r="T15"/>
  <c r="R15"/>
  <c r="J15"/>
  <c r="E15"/>
  <c r="D15"/>
  <c r="C15"/>
  <c r="V12"/>
  <c r="T12"/>
  <c r="R12"/>
  <c r="J12"/>
  <c r="I12"/>
  <c r="F12"/>
  <c r="E12"/>
  <c r="D12"/>
  <c r="C12"/>
  <c r="V11"/>
  <c r="T11"/>
  <c r="R11"/>
  <c r="F11"/>
  <c r="E11"/>
  <c r="D11"/>
  <c r="C11"/>
  <c r="V10"/>
  <c r="T10"/>
  <c r="R10"/>
  <c r="J10"/>
  <c r="F10"/>
  <c r="E10"/>
  <c r="D10"/>
  <c r="C10"/>
  <c r="V8"/>
  <c r="T8"/>
  <c r="R8"/>
  <c r="P8"/>
  <c r="J8"/>
  <c r="F8"/>
  <c r="E8"/>
  <c r="D8"/>
  <c r="C8"/>
  <c r="V9"/>
  <c r="T9"/>
  <c r="R9"/>
  <c r="J9"/>
  <c r="I9"/>
  <c r="F9"/>
  <c r="E9"/>
  <c r="D9"/>
  <c r="C9"/>
  <c r="V5"/>
  <c r="T5"/>
  <c r="F5"/>
  <c r="E5"/>
  <c r="D5"/>
  <c r="C5"/>
  <c r="V7"/>
  <c r="T7"/>
  <c r="R7"/>
  <c r="P7"/>
  <c r="I7"/>
  <c r="F7"/>
  <c r="E7"/>
  <c r="D7"/>
  <c r="C7"/>
  <c r="V6"/>
  <c r="T6"/>
  <c r="R6"/>
  <c r="J6"/>
  <c r="I6"/>
  <c r="H6"/>
  <c r="F6"/>
  <c r="E6"/>
  <c r="D6"/>
  <c r="C6"/>
  <c r="P16"/>
  <c r="N16"/>
  <c r="J11"/>
  <c r="P9"/>
  <c r="P5"/>
  <c r="J5"/>
  <c r="I15"/>
  <c r="F15"/>
  <c r="I8"/>
  <c r="P17"/>
  <c r="N17"/>
  <c r="I17"/>
  <c r="H17"/>
  <c r="P14" l="1"/>
  <c r="N14"/>
  <c r="I14"/>
  <c r="H14"/>
  <c r="N13" l="1"/>
  <c r="H13"/>
  <c r="U17"/>
  <c r="U14"/>
  <c r="S17"/>
  <c r="S14"/>
  <c r="Q17"/>
  <c r="Q14"/>
  <c r="O17"/>
  <c r="O14"/>
  <c r="M17"/>
  <c r="M14"/>
  <c r="L17"/>
  <c r="L14"/>
  <c r="K17"/>
  <c r="K14"/>
  <c r="K13"/>
  <c r="G17"/>
  <c r="G14"/>
  <c r="U13" l="1"/>
  <c r="O13" l="1"/>
  <c r="S13"/>
  <c r="L13"/>
  <c r="Q13"/>
  <c r="G13"/>
  <c r="M13"/>
  <c r="H5"/>
  <c r="U18" l="1"/>
  <c r="Q18"/>
  <c r="P18"/>
  <c r="N18"/>
  <c r="M18"/>
  <c r="H18"/>
  <c r="S18"/>
  <c r="U16"/>
  <c r="Q16"/>
  <c r="M16"/>
  <c r="J16"/>
  <c r="I16"/>
  <c r="H16"/>
  <c r="S16"/>
  <c r="U15"/>
  <c r="Q15"/>
  <c r="P15"/>
  <c r="N15"/>
  <c r="M15"/>
  <c r="K15"/>
  <c r="H15"/>
  <c r="S15"/>
  <c r="U9"/>
  <c r="Q9"/>
  <c r="N9"/>
  <c r="M9"/>
  <c r="L9"/>
  <c r="H9"/>
  <c r="S9"/>
  <c r="U12"/>
  <c r="Q12"/>
  <c r="P12"/>
  <c r="N12"/>
  <c r="M12"/>
  <c r="H12"/>
  <c r="S12"/>
  <c r="U8"/>
  <c r="Q8"/>
  <c r="N8"/>
  <c r="M8"/>
  <c r="K8"/>
  <c r="H8"/>
  <c r="S8"/>
  <c r="U11"/>
  <c r="Q11"/>
  <c r="P11"/>
  <c r="N11"/>
  <c r="M11"/>
  <c r="H11"/>
  <c r="S11"/>
  <c r="U7"/>
  <c r="Q7"/>
  <c r="N7"/>
  <c r="M7"/>
  <c r="J7"/>
  <c r="H7"/>
  <c r="S7"/>
  <c r="U10"/>
  <c r="P10"/>
  <c r="Q10" s="1"/>
  <c r="N10"/>
  <c r="M10"/>
  <c r="K10"/>
  <c r="H10"/>
  <c r="S10"/>
  <c r="U5"/>
  <c r="Q5"/>
  <c r="N5"/>
  <c r="M5"/>
  <c r="K5"/>
  <c r="S5"/>
  <c r="U6"/>
  <c r="Q6"/>
  <c r="P6"/>
  <c r="N6"/>
  <c r="M6"/>
  <c r="K6"/>
  <c r="S6"/>
  <c r="R8" i="1"/>
  <c r="R9"/>
  <c r="R7"/>
  <c r="R13"/>
  <c r="K18" i="2" l="1"/>
  <c r="K11"/>
  <c r="K12"/>
  <c r="K16"/>
  <c r="K7"/>
  <c r="L6"/>
  <c r="L5"/>
  <c r="L10"/>
  <c r="L7"/>
  <c r="L11"/>
  <c r="L8"/>
  <c r="L12"/>
  <c r="L15"/>
  <c r="L16"/>
  <c r="L18"/>
  <c r="G6"/>
  <c r="O6"/>
  <c r="G5"/>
  <c r="O5"/>
  <c r="G10"/>
  <c r="O10"/>
  <c r="G7"/>
  <c r="O7"/>
  <c r="G11"/>
  <c r="O11"/>
  <c r="G8"/>
  <c r="O8"/>
  <c r="G12"/>
  <c r="O12"/>
  <c r="G9"/>
  <c r="K9"/>
  <c r="O9"/>
  <c r="G15"/>
  <c r="O15"/>
  <c r="G16"/>
  <c r="O16"/>
  <c r="G18"/>
  <c r="O18"/>
  <c r="V14" i="1"/>
  <c r="T14"/>
  <c r="R14"/>
  <c r="J14"/>
  <c r="F14"/>
  <c r="E14"/>
  <c r="D14"/>
  <c r="C14"/>
  <c r="V12"/>
  <c r="T12"/>
  <c r="R12"/>
  <c r="F12"/>
  <c r="E12"/>
  <c r="D12"/>
  <c r="C12"/>
  <c r="V15"/>
  <c r="T15"/>
  <c r="R15"/>
  <c r="J15"/>
  <c r="F15"/>
  <c r="E15"/>
  <c r="D15"/>
  <c r="C15"/>
  <c r="V6"/>
  <c r="R6"/>
  <c r="S6" s="1"/>
  <c r="I6"/>
  <c r="H6"/>
  <c r="F6"/>
  <c r="E6"/>
  <c r="D6"/>
  <c r="C6"/>
  <c r="V11"/>
  <c r="T11"/>
  <c r="R11"/>
  <c r="P11"/>
  <c r="F11"/>
  <c r="E11"/>
  <c r="D11"/>
  <c r="C11"/>
  <c r="V8"/>
  <c r="T8"/>
  <c r="I8"/>
  <c r="F8"/>
  <c r="E8"/>
  <c r="D8"/>
  <c r="C8"/>
  <c r="V5"/>
  <c r="R5"/>
  <c r="P5"/>
  <c r="N5"/>
  <c r="F5"/>
  <c r="E5"/>
  <c r="D5"/>
  <c r="C5"/>
  <c r="V10"/>
  <c r="T10"/>
  <c r="R10"/>
  <c r="J10"/>
  <c r="I10"/>
  <c r="F10"/>
  <c r="E10"/>
  <c r="D10"/>
  <c r="C10"/>
  <c r="V9" l="1"/>
  <c r="T9"/>
  <c r="P9" l="1"/>
  <c r="I9"/>
  <c r="F9"/>
  <c r="E9"/>
  <c r="D9"/>
  <c r="C9"/>
  <c r="V13"/>
  <c r="T13"/>
  <c r="P13"/>
  <c r="J13"/>
  <c r="I13"/>
  <c r="H13"/>
  <c r="F13"/>
  <c r="E13"/>
  <c r="D13"/>
  <c r="C13"/>
  <c r="P14" l="1"/>
  <c r="N14"/>
  <c r="I14"/>
  <c r="H14"/>
  <c r="N11"/>
  <c r="J11"/>
  <c r="I11"/>
  <c r="H11"/>
  <c r="N9"/>
  <c r="J9"/>
  <c r="H9"/>
  <c r="P8"/>
  <c r="N8"/>
  <c r="H8"/>
  <c r="P15"/>
  <c r="N15"/>
  <c r="I15"/>
  <c r="H15"/>
  <c r="P12"/>
  <c r="N12"/>
  <c r="J12"/>
  <c r="I12"/>
  <c r="H12"/>
  <c r="T6"/>
  <c r="P6"/>
  <c r="N6"/>
  <c r="J6"/>
  <c r="T5"/>
  <c r="J5"/>
  <c r="I5"/>
  <c r="H5"/>
  <c r="P10"/>
  <c r="N10"/>
  <c r="H10"/>
  <c r="N13"/>
  <c r="J7" l="1"/>
  <c r="I7"/>
  <c r="H7" l="1"/>
  <c r="V7"/>
  <c r="T7"/>
  <c r="P7" l="1"/>
  <c r="N7"/>
  <c r="J8"/>
  <c r="F7" l="1"/>
  <c r="E7"/>
  <c r="D7"/>
  <c r="C7"/>
  <c r="U13"/>
  <c r="U10"/>
  <c r="S13"/>
  <c r="S10"/>
  <c r="Q13"/>
  <c r="Q10"/>
  <c r="O13"/>
  <c r="O10"/>
  <c r="M13"/>
  <c r="L13"/>
  <c r="M10"/>
  <c r="L10"/>
  <c r="K13"/>
  <c r="K10"/>
  <c r="G12"/>
  <c r="G10" l="1"/>
  <c r="U11" l="1"/>
  <c r="S11"/>
  <c r="Q11"/>
  <c r="O11"/>
  <c r="L11"/>
  <c r="M11"/>
  <c r="G15"/>
  <c r="U15"/>
  <c r="S15"/>
  <c r="Q15"/>
  <c r="O15"/>
  <c r="M15"/>
  <c r="L15"/>
  <c r="G14"/>
  <c r="U12"/>
  <c r="S12"/>
  <c r="Q12"/>
  <c r="O12"/>
  <c r="M12"/>
  <c r="L12"/>
  <c r="G13"/>
  <c r="U5"/>
  <c r="S5"/>
  <c r="Q5"/>
  <c r="O5"/>
  <c r="M5"/>
  <c r="L5"/>
  <c r="G9"/>
  <c r="U14"/>
  <c r="S14"/>
  <c r="Q14"/>
  <c r="O14"/>
  <c r="M14"/>
  <c r="L14"/>
  <c r="G11"/>
  <c r="U6"/>
  <c r="Q6"/>
  <c r="O6"/>
  <c r="M6"/>
  <c r="L6"/>
  <c r="G6"/>
  <c r="U8"/>
  <c r="S8"/>
  <c r="Q8"/>
  <c r="O8"/>
  <c r="M8"/>
  <c r="L8"/>
  <c r="G7"/>
  <c r="K9"/>
  <c r="U9"/>
  <c r="U7"/>
  <c r="S7"/>
  <c r="Q7"/>
  <c r="O7"/>
  <c r="M7"/>
  <c r="K7"/>
  <c r="G5"/>
  <c r="S9" l="1"/>
  <c r="K8"/>
  <c r="K5"/>
  <c r="K12"/>
  <c r="K11"/>
  <c r="M9"/>
  <c r="Q9"/>
  <c r="L7"/>
  <c r="O9"/>
  <c r="K6"/>
  <c r="K14"/>
  <c r="K15"/>
  <c r="G8"/>
  <c r="L9"/>
</calcChain>
</file>

<file path=xl/sharedStrings.xml><?xml version="1.0" encoding="utf-8"?>
<sst xmlns="http://schemas.openxmlformats.org/spreadsheetml/2006/main" count="69" uniqueCount="36">
  <si>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</si>
  <si>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</si>
  <si>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</si>
  <si>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</si>
  <si>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</si>
  <si>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</si>
  <si>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</si>
  <si>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</si>
  <si>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</si>
  <si>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</si>
  <si>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</si>
  <si>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</si>
  <si>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Good/18</t>
  </si>
  <si>
    <t>Bad/18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</si>
  <si>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</si>
  <si>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</si>
  <si>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</si>
  <si>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</si>
  <si>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</si>
  <si>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</si>
  <si>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</si>
  <si>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</si>
  <si>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Yorkie</t>
  </si>
  <si>
    <t>Eagle</t>
  </si>
  <si>
    <t>Harrier</t>
  </si>
  <si>
    <t>Ram</t>
  </si>
  <si>
    <t>Mole</t>
  </si>
  <si>
    <t>Eel</t>
  </si>
  <si>
    <t>Wolf</t>
  </si>
  <si>
    <t>Silver</t>
  </si>
  <si>
    <t>Buffalo</t>
  </si>
  <si>
    <t>Hound</t>
  </si>
  <si>
    <t>Owl</t>
  </si>
  <si>
    <t>Javelina</t>
  </si>
  <si>
    <t>Panda</t>
  </si>
  <si>
    <t>Tort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</si>
</sst>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2" fillId="0" borderId="3" xfId="0" applyFont="1" applyFill="1" applyBorder="1"/>
    <xf numFmtId="0" fontId="0" fillId="0" borderId="7" xfId="0" applyFill="1" applyBorder="1"/>
    <xf numFmtId="1" fontId="0" fillId="0" borderId="7" xfId="0" applyNumberFormat="1" applyBorder="1"/>
    <xf numFmtId="1" fontId="0" fillId="0" borderId="0" xfId="0" applyNumberFormat="1" applyFill="1" applyBorder="1"/>
    <xf numFmtId="0" fontId="0" fillId="0" borderId="2" xfId="0" applyFill="1" applyBorder="1"/>
    <xf numFmtId="1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72"/>
  <sheetViews>
    <sheetView workbookViewId="0">
      <selection activeCell="D5" sqref="D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22</v>
      </c>
      <c r="C5" s="5">
        <f>1+3+1</f>
        <v>5</v>
      </c>
      <c r="D5" s="6">
        <f>(70+70+71+71+64)/5</f>
        <v>69.2</v>
      </c>
      <c r="E5" s="6">
        <f>(72+72+73+73+66)/5</f>
        <v>71.2</v>
      </c>
      <c r="F5" s="5">
        <f>3+9+6</f>
        <v>18</v>
      </c>
      <c r="G5" s="7">
        <f t="shared" ref="G5:G15" si="0">F5/C5</f>
        <v>3.6</v>
      </c>
      <c r="H5" s="5">
        <f>0</f>
        <v>0</v>
      </c>
      <c r="I5" s="5">
        <f>1</f>
        <v>1</v>
      </c>
      <c r="J5" s="5">
        <f>0</f>
        <v>0</v>
      </c>
      <c r="K5" s="5">
        <f t="shared" ref="K5:K15" si="1">I5-J5</f>
        <v>1</v>
      </c>
      <c r="L5" s="7">
        <f t="shared" ref="L5:L15" si="2">I5/C5</f>
        <v>0.2</v>
      </c>
      <c r="M5" s="7">
        <f t="shared" ref="M5:M15" si="3">J5/C5</f>
        <v>0</v>
      </c>
      <c r="N5" s="8">
        <f>0+1</f>
        <v>1</v>
      </c>
      <c r="O5" s="7">
        <f t="shared" ref="O5:O15" si="4">N5/C5</f>
        <v>0.2</v>
      </c>
      <c r="P5" s="5">
        <f>0+1</f>
        <v>1</v>
      </c>
      <c r="Q5" s="7">
        <f t="shared" ref="Q5:Q15" si="5">P5/C5</f>
        <v>0.2</v>
      </c>
      <c r="R5" s="7">
        <f>0.5+0-4.5</f>
        <v>-4</v>
      </c>
      <c r="S5" s="7">
        <f t="shared" ref="S5:S15" si="6">R5/C5</f>
        <v>-0.8</v>
      </c>
      <c r="T5" s="5">
        <f>0+1</f>
        <v>1</v>
      </c>
      <c r="U5" s="7">
        <f t="shared" ref="U5:U15" si="7">T5/C5</f>
        <v>0.2</v>
      </c>
      <c r="V5" s="24">
        <f>1+1+2</f>
        <v>4</v>
      </c>
    </row>
    <row r="6" spans="1:22">
      <c r="A6" s="9"/>
      <c r="B6" s="10" t="s">
        <v>25</v>
      </c>
      <c r="C6" s="16">
        <f>1+3+3</f>
        <v>7</v>
      </c>
      <c r="D6" s="12">
        <f>(73+76+71+74+70+71+70)/7</f>
        <v>72.142857142857139</v>
      </c>
      <c r="E6" s="12">
        <f>(73+76+71+74+70+71+70)/7</f>
        <v>72.142857142857139</v>
      </c>
      <c r="F6" s="11">
        <f>2+7+8</f>
        <v>17</v>
      </c>
      <c r="G6" s="13">
        <f t="shared" si="0"/>
        <v>2.4285714285714284</v>
      </c>
      <c r="H6" s="16">
        <f>0+1</f>
        <v>1</v>
      </c>
      <c r="I6" s="11">
        <f>1+3</f>
        <v>4</v>
      </c>
      <c r="J6" s="11">
        <f>0</f>
        <v>0</v>
      </c>
      <c r="K6" s="11">
        <f t="shared" si="1"/>
        <v>4</v>
      </c>
      <c r="L6" s="13">
        <f t="shared" si="2"/>
        <v>0.5714285714285714</v>
      </c>
      <c r="M6" s="13">
        <f t="shared" si="3"/>
        <v>0</v>
      </c>
      <c r="N6" s="14">
        <f>0</f>
        <v>0</v>
      </c>
      <c r="O6" s="13">
        <f t="shared" si="4"/>
        <v>0</v>
      </c>
      <c r="P6" s="11">
        <f>0</f>
        <v>0</v>
      </c>
      <c r="Q6" s="13">
        <f t="shared" si="5"/>
        <v>0</v>
      </c>
      <c r="R6" s="13">
        <f>-4.25-0.25-8.5</f>
        <v>-13</v>
      </c>
      <c r="S6" s="13">
        <f t="shared" si="6"/>
        <v>-1.8571428571428572</v>
      </c>
      <c r="T6" s="11">
        <f>1+4</f>
        <v>5</v>
      </c>
      <c r="U6" s="13">
        <f t="shared" si="7"/>
        <v>0.7142857142857143</v>
      </c>
      <c r="V6" s="15">
        <f>-1+0+0</f>
        <v>-1</v>
      </c>
    </row>
    <row r="7" spans="1:22">
      <c r="A7" s="9"/>
      <c r="B7" s="10" t="s">
        <v>24</v>
      </c>
      <c r="C7" s="16">
        <f>4+4</f>
        <v>8</v>
      </c>
      <c r="D7" s="12">
        <f>(71+85+71+73+74+68+69+68)/8</f>
        <v>72.375</v>
      </c>
      <c r="E7" s="12">
        <f>(71+85+71+73+74+68+69+68)/8</f>
        <v>72.375</v>
      </c>
      <c r="F7" s="11">
        <f>10+12</f>
        <v>22</v>
      </c>
      <c r="G7" s="13">
        <f t="shared" si="0"/>
        <v>2.75</v>
      </c>
      <c r="H7" s="11">
        <f>0</f>
        <v>0</v>
      </c>
      <c r="I7" s="11">
        <f>0</f>
        <v>0</v>
      </c>
      <c r="J7" s="11">
        <f>3</f>
        <v>3</v>
      </c>
      <c r="K7" s="11">
        <f t="shared" si="1"/>
        <v>-3</v>
      </c>
      <c r="L7" s="13">
        <f t="shared" si="2"/>
        <v>0</v>
      </c>
      <c r="M7" s="13">
        <f t="shared" si="3"/>
        <v>0.375</v>
      </c>
      <c r="N7" s="14">
        <f>3</f>
        <v>3</v>
      </c>
      <c r="O7" s="13">
        <f t="shared" si="4"/>
        <v>0.375</v>
      </c>
      <c r="P7" s="11">
        <f>3</f>
        <v>3</v>
      </c>
      <c r="Q7" s="13">
        <f t="shared" si="5"/>
        <v>0.375</v>
      </c>
      <c r="R7" s="13">
        <f>2.5-5.25</f>
        <v>-2.75</v>
      </c>
      <c r="S7" s="13">
        <f t="shared" si="6"/>
        <v>-0.34375</v>
      </c>
      <c r="T7" s="11">
        <f>7+1</f>
        <v>8</v>
      </c>
      <c r="U7" s="13">
        <f t="shared" si="7"/>
        <v>1</v>
      </c>
      <c r="V7" s="15">
        <f>3-1</f>
        <v>2</v>
      </c>
    </row>
    <row r="8" spans="1:22">
      <c r="A8" s="9"/>
      <c r="B8" s="10" t="s">
        <v>23</v>
      </c>
      <c r="C8" s="11">
        <f>2+2+2</f>
        <v>6</v>
      </c>
      <c r="D8" s="12">
        <f>(78+69+69+76+71+77)/6</f>
        <v>73.333333333333329</v>
      </c>
      <c r="E8" s="12">
        <f>(79+70+70+77+71+78)/6</f>
        <v>74.166666666666671</v>
      </c>
      <c r="F8" s="11">
        <f>4+6+5</f>
        <v>15</v>
      </c>
      <c r="G8" s="13">
        <f t="shared" si="0"/>
        <v>2.5</v>
      </c>
      <c r="H8" s="16">
        <f>0</f>
        <v>0</v>
      </c>
      <c r="I8" s="11">
        <f>1+4</f>
        <v>5</v>
      </c>
      <c r="J8" s="11">
        <f>1</f>
        <v>1</v>
      </c>
      <c r="K8" s="11">
        <f t="shared" si="1"/>
        <v>4</v>
      </c>
      <c r="L8" s="13">
        <f t="shared" si="2"/>
        <v>0.83333333333333337</v>
      </c>
      <c r="M8" s="13">
        <f t="shared" si="3"/>
        <v>0.16666666666666666</v>
      </c>
      <c r="N8" s="14">
        <f>1+1</f>
        <v>2</v>
      </c>
      <c r="O8" s="13">
        <f t="shared" si="4"/>
        <v>0.33333333333333331</v>
      </c>
      <c r="P8" s="16">
        <f>0</f>
        <v>0</v>
      </c>
      <c r="Q8" s="13">
        <f t="shared" si="5"/>
        <v>0</v>
      </c>
      <c r="R8" s="13">
        <f>2.5-2.5+6</f>
        <v>6</v>
      </c>
      <c r="S8" s="13">
        <f t="shared" si="6"/>
        <v>1</v>
      </c>
      <c r="T8" s="11">
        <f>2+1+2</f>
        <v>5</v>
      </c>
      <c r="U8" s="13">
        <f t="shared" si="7"/>
        <v>0.83333333333333337</v>
      </c>
      <c r="V8" s="15">
        <f>0+0+0</f>
        <v>0</v>
      </c>
    </row>
    <row r="9" spans="1:22">
      <c r="A9" s="9"/>
      <c r="B9" s="10" t="s">
        <v>27</v>
      </c>
      <c r="C9" s="16">
        <f>2+5+4</f>
        <v>11</v>
      </c>
      <c r="D9" s="12">
        <f>(75+76+70+74+73+74+76+79+75+73+73)/11</f>
        <v>74.36363636363636</v>
      </c>
      <c r="E9" s="12">
        <f>(72+73+67+72+71+72+74+76+72+70+69)/11</f>
        <v>71.63636363636364</v>
      </c>
      <c r="F9" s="11">
        <f>4+13+12</f>
        <v>29</v>
      </c>
      <c r="G9" s="13">
        <f t="shared" si="0"/>
        <v>2.6363636363636362</v>
      </c>
      <c r="H9" s="16">
        <f>0</f>
        <v>0</v>
      </c>
      <c r="I9" s="16">
        <f>1+1</f>
        <v>2</v>
      </c>
      <c r="J9" s="11">
        <f>0</f>
        <v>0</v>
      </c>
      <c r="K9" s="11">
        <f t="shared" si="1"/>
        <v>2</v>
      </c>
      <c r="L9" s="13">
        <f t="shared" si="2"/>
        <v>0.18181818181818182</v>
      </c>
      <c r="M9" s="13">
        <f t="shared" si="3"/>
        <v>0</v>
      </c>
      <c r="N9" s="14">
        <f>0</f>
        <v>0</v>
      </c>
      <c r="O9" s="13">
        <f t="shared" si="4"/>
        <v>0</v>
      </c>
      <c r="P9" s="16">
        <f>1+1</f>
        <v>2</v>
      </c>
      <c r="Q9" s="13">
        <f t="shared" si="5"/>
        <v>0.18181818181818182</v>
      </c>
      <c r="R9" s="13">
        <f>-1.5-6.25-7.75</f>
        <v>-15.5</v>
      </c>
      <c r="S9" s="13">
        <f t="shared" si="6"/>
        <v>-1.4090909090909092</v>
      </c>
      <c r="T9" s="11">
        <f>3+5+6</f>
        <v>14</v>
      </c>
      <c r="U9" s="13">
        <f t="shared" si="7"/>
        <v>1.2727272727272727</v>
      </c>
      <c r="V9" s="15">
        <f>0-2+0</f>
        <v>-2</v>
      </c>
    </row>
    <row r="10" spans="1:22">
      <c r="A10" s="9"/>
      <c r="B10" s="10" t="s">
        <v>31</v>
      </c>
      <c r="C10" s="16">
        <f>1+3+4</f>
        <v>8</v>
      </c>
      <c r="D10" s="12">
        <f>(79+78+78+74+75+78+74+79)/8</f>
        <v>76.875</v>
      </c>
      <c r="E10" s="12">
        <f>(75+74+74+70+71+75+70+75)/8</f>
        <v>73</v>
      </c>
      <c r="F10" s="11">
        <f>0+3+6</f>
        <v>9</v>
      </c>
      <c r="G10" s="13">
        <f t="shared" si="0"/>
        <v>1.125</v>
      </c>
      <c r="H10" s="11">
        <f>0</f>
        <v>0</v>
      </c>
      <c r="I10" s="11">
        <f>0+1</f>
        <v>1</v>
      </c>
      <c r="J10" s="11">
        <f>0+2</f>
        <v>2</v>
      </c>
      <c r="K10" s="11">
        <f t="shared" si="1"/>
        <v>-1</v>
      </c>
      <c r="L10" s="13">
        <f t="shared" si="2"/>
        <v>0.125</v>
      </c>
      <c r="M10" s="13">
        <f t="shared" si="3"/>
        <v>0.25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</f>
        <v>-8</v>
      </c>
      <c r="S10" s="13">
        <f t="shared" si="6"/>
        <v>-1</v>
      </c>
      <c r="T10" s="11">
        <f>0+3+3</f>
        <v>6</v>
      </c>
      <c r="U10" s="13">
        <f t="shared" si="7"/>
        <v>0.75</v>
      </c>
      <c r="V10" s="15">
        <f>1+4+2</f>
        <v>7</v>
      </c>
    </row>
    <row r="11" spans="1:22">
      <c r="A11" s="9"/>
      <c r="B11" s="10" t="s">
        <v>26</v>
      </c>
      <c r="C11" s="16">
        <f>2+2+2</f>
        <v>6</v>
      </c>
      <c r="D11" s="12">
        <f>(77+76+84+75+79+73)/6</f>
        <v>77.333333333333329</v>
      </c>
      <c r="E11" s="12">
        <f>(71+70+78+69+73+67)/6</f>
        <v>71.333333333333329</v>
      </c>
      <c r="F11" s="11">
        <f>5+1+3</f>
        <v>9</v>
      </c>
      <c r="G11" s="13">
        <f t="shared" si="0"/>
        <v>1.5</v>
      </c>
      <c r="H11" s="16">
        <f>0</f>
        <v>0</v>
      </c>
      <c r="I11" s="16">
        <f>1</f>
        <v>1</v>
      </c>
      <c r="J11" s="11">
        <f>0</f>
        <v>0</v>
      </c>
      <c r="K11" s="11">
        <f t="shared" si="1"/>
        <v>1</v>
      </c>
      <c r="L11" s="13">
        <f t="shared" si="2"/>
        <v>0.16666666666666666</v>
      </c>
      <c r="M11" s="13">
        <f t="shared" si="3"/>
        <v>0</v>
      </c>
      <c r="N11" s="14">
        <f>0</f>
        <v>0</v>
      </c>
      <c r="O11" s="13">
        <f t="shared" si="4"/>
        <v>0</v>
      </c>
      <c r="P11" s="16">
        <f>1+1</f>
        <v>2</v>
      </c>
      <c r="Q11" s="13">
        <f t="shared" si="5"/>
        <v>0.33333333333333331</v>
      </c>
      <c r="R11" s="13">
        <f>-3-0.25-3.25</f>
        <v>-6.5</v>
      </c>
      <c r="S11" s="13">
        <f t="shared" si="6"/>
        <v>-1.0833333333333333</v>
      </c>
      <c r="T11" s="11">
        <f>1+5+3</f>
        <v>9</v>
      </c>
      <c r="U11" s="13">
        <f t="shared" si="7"/>
        <v>1.5</v>
      </c>
      <c r="V11" s="15">
        <f>0-1-1</f>
        <v>-2</v>
      </c>
    </row>
    <row r="12" spans="1:22">
      <c r="A12" s="9"/>
      <c r="B12" s="10" t="s">
        <v>32</v>
      </c>
      <c r="C12" s="16">
        <f>2+1+3</f>
        <v>6</v>
      </c>
      <c r="D12" s="12">
        <f>(83+77+82+76+81+75)/6</f>
        <v>79</v>
      </c>
      <c r="E12" s="12">
        <f>(78+72+78+70+75+70)/6</f>
        <v>73.833333333333329</v>
      </c>
      <c r="F12" s="11">
        <f>3+2+5</f>
        <v>10</v>
      </c>
      <c r="G12" s="13">
        <f t="shared" si="0"/>
        <v>1.6666666666666667</v>
      </c>
      <c r="H12" s="16">
        <f>0</f>
        <v>0</v>
      </c>
      <c r="I12" s="11">
        <f>1</f>
        <v>1</v>
      </c>
      <c r="J12" s="11">
        <f>2</f>
        <v>2</v>
      </c>
      <c r="K12" s="11">
        <f t="shared" si="1"/>
        <v>-1</v>
      </c>
      <c r="L12" s="13">
        <f t="shared" si="2"/>
        <v>0.16666666666666666</v>
      </c>
      <c r="M12" s="13">
        <f t="shared" si="3"/>
        <v>0.33333333333333331</v>
      </c>
      <c r="N12" s="14">
        <f>0</f>
        <v>0</v>
      </c>
      <c r="O12" s="13">
        <f t="shared" si="4"/>
        <v>0</v>
      </c>
      <c r="P12" s="11">
        <f>0</f>
        <v>0</v>
      </c>
      <c r="Q12" s="13">
        <f t="shared" si="5"/>
        <v>0</v>
      </c>
      <c r="R12" s="13">
        <f>-2.25+5.5-4.75</f>
        <v>-1.5</v>
      </c>
      <c r="S12" s="13">
        <f t="shared" si="6"/>
        <v>-0.25</v>
      </c>
      <c r="T12" s="11">
        <f>5+3+5</f>
        <v>13</v>
      </c>
      <c r="U12" s="13">
        <f t="shared" si="7"/>
        <v>2.1666666666666665</v>
      </c>
      <c r="V12" s="15">
        <f>-1+0+3</f>
        <v>2</v>
      </c>
    </row>
    <row r="13" spans="1:22">
      <c r="A13" s="9"/>
      <c r="B13" s="10" t="s">
        <v>28</v>
      </c>
      <c r="C13" s="16">
        <f>3+5+4</f>
        <v>12</v>
      </c>
      <c r="D13" s="12">
        <f>(80+84+75+74+80+74+86+82+85+83+75+82)/12</f>
        <v>80</v>
      </c>
      <c r="E13" s="12">
        <f>(73+77+68+67+74+67+79+75+79+68+76+75)/12</f>
        <v>73.166666666666671</v>
      </c>
      <c r="F13" s="11">
        <f>5+4+2</f>
        <v>11</v>
      </c>
      <c r="G13" s="13">
        <f t="shared" si="0"/>
        <v>0.91666666666666663</v>
      </c>
      <c r="H13" s="11">
        <f>0+1</f>
        <v>1</v>
      </c>
      <c r="I13" s="11">
        <f>1+1</f>
        <v>2</v>
      </c>
      <c r="J13" s="11">
        <f>1+1+1</f>
        <v>3</v>
      </c>
      <c r="K13" s="11">
        <f t="shared" si="1"/>
        <v>-1</v>
      </c>
      <c r="L13" s="13">
        <f t="shared" si="2"/>
        <v>0.16666666666666666</v>
      </c>
      <c r="M13" s="13">
        <f t="shared" si="3"/>
        <v>0.25</v>
      </c>
      <c r="N13" s="14">
        <f>0</f>
        <v>0</v>
      </c>
      <c r="O13" s="13">
        <f t="shared" si="4"/>
        <v>0</v>
      </c>
      <c r="P13" s="11">
        <f>1+2+1</f>
        <v>4</v>
      </c>
      <c r="Q13" s="13">
        <f t="shared" si="5"/>
        <v>0.33333333333333331</v>
      </c>
      <c r="R13" s="13">
        <f>-8-4.25+2.75</f>
        <v>-9.5</v>
      </c>
      <c r="S13" s="13">
        <f t="shared" si="6"/>
        <v>-0.79166666666666663</v>
      </c>
      <c r="T13" s="11">
        <f>9+11+9</f>
        <v>29</v>
      </c>
      <c r="U13" s="13">
        <f t="shared" si="7"/>
        <v>2.4166666666666665</v>
      </c>
      <c r="V13" s="15">
        <f>4-1+1</f>
        <v>4</v>
      </c>
    </row>
    <row r="14" spans="1:22">
      <c r="A14" s="9"/>
      <c r="B14" s="10" t="s">
        <v>29</v>
      </c>
      <c r="C14" s="11">
        <f>1+2+2</f>
        <v>5</v>
      </c>
      <c r="D14" s="12">
        <f>(82+85+79+88+83)/5</f>
        <v>83.4</v>
      </c>
      <c r="E14" s="12">
        <f>(76+78+72+82+77)/5</f>
        <v>77</v>
      </c>
      <c r="F14" s="11">
        <f>1+1+1</f>
        <v>3</v>
      </c>
      <c r="G14" s="13">
        <f t="shared" si="0"/>
        <v>0.6</v>
      </c>
      <c r="H14" s="11">
        <f>0</f>
        <v>0</v>
      </c>
      <c r="I14" s="11">
        <f>1</f>
        <v>1</v>
      </c>
      <c r="J14" s="11">
        <f>1+2</f>
        <v>3</v>
      </c>
      <c r="K14" s="11">
        <f t="shared" si="1"/>
        <v>-2</v>
      </c>
      <c r="L14" s="13">
        <f t="shared" si="2"/>
        <v>0.2</v>
      </c>
      <c r="M14" s="13">
        <f t="shared" si="3"/>
        <v>0.6</v>
      </c>
      <c r="N14" s="27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-1.25+7+8.5</f>
        <v>14.25</v>
      </c>
      <c r="S14" s="13">
        <f t="shared" si="6"/>
        <v>2.85</v>
      </c>
      <c r="T14" s="11">
        <f>4+6+8</f>
        <v>18</v>
      </c>
      <c r="U14" s="13">
        <f t="shared" si="7"/>
        <v>3.6</v>
      </c>
      <c r="V14" s="15">
        <f>0-3-4</f>
        <v>-7</v>
      </c>
    </row>
    <row r="15" spans="1:22" ht="15.75" thickBot="1">
      <c r="A15" s="17"/>
      <c r="B15" s="18" t="s">
        <v>30</v>
      </c>
      <c r="C15" s="25">
        <f>2+1+3</f>
        <v>6</v>
      </c>
      <c r="D15" s="19">
        <f>(92+86+83+85+93+87)/6</f>
        <v>87.666666666666671</v>
      </c>
      <c r="E15" s="19">
        <f>(82+76+73+75+83+77)/6</f>
        <v>77.666666666666671</v>
      </c>
      <c r="F15" s="20">
        <f>1+0+1</f>
        <v>2</v>
      </c>
      <c r="G15" s="21">
        <f t="shared" si="0"/>
        <v>0.33333333333333331</v>
      </c>
      <c r="H15" s="25">
        <f>0</f>
        <v>0</v>
      </c>
      <c r="I15" s="20">
        <f>0</f>
        <v>0</v>
      </c>
      <c r="J15" s="20">
        <f>0+2</f>
        <v>2</v>
      </c>
      <c r="K15" s="20">
        <f t="shared" si="1"/>
        <v>-2</v>
      </c>
      <c r="L15" s="21">
        <f t="shared" si="2"/>
        <v>0</v>
      </c>
      <c r="M15" s="21">
        <f t="shared" si="3"/>
        <v>0.33333333333333331</v>
      </c>
      <c r="N15" s="26">
        <f>0</f>
        <v>0</v>
      </c>
      <c r="O15" s="21">
        <f t="shared" si="4"/>
        <v>0</v>
      </c>
      <c r="P15" s="25">
        <f>0</f>
        <v>0</v>
      </c>
      <c r="Q15" s="21">
        <f t="shared" si="5"/>
        <v>0</v>
      </c>
      <c r="R15" s="21">
        <f>11.25+2.25+14.75</f>
        <v>28.25</v>
      </c>
      <c r="S15" s="21">
        <f t="shared" si="6"/>
        <v>4.708333333333333</v>
      </c>
      <c r="T15" s="20">
        <f>11+5+17</f>
        <v>33</v>
      </c>
      <c r="U15" s="21">
        <f t="shared" si="7"/>
        <v>5.5</v>
      </c>
      <c r="V15" s="22">
        <f>-1+1-3</f>
        <v>-3</v>
      </c>
    </row>
    <row r="16" spans="1:22">
      <c r="B16" s="23"/>
    </row>
    <row r="17" spans="2:21">
      <c r="B17" s="23"/>
    </row>
    <row r="18" spans="2:21">
      <c r="J18" s="1"/>
      <c r="M18" s="2"/>
      <c r="N18" s="2"/>
      <c r="O18" s="2"/>
      <c r="R18"/>
      <c r="S18"/>
      <c r="U18"/>
    </row>
    <row r="19" spans="2:21">
      <c r="J19" s="1"/>
      <c r="M19" s="2"/>
      <c r="N19" s="2"/>
      <c r="O19" s="2"/>
      <c r="R19"/>
      <c r="S19"/>
      <c r="U19"/>
    </row>
    <row r="20" spans="2:21">
      <c r="J20" s="1"/>
      <c r="M20" s="2"/>
      <c r="N20" s="2"/>
      <c r="O20" s="2"/>
      <c r="R20"/>
      <c r="S20"/>
      <c r="U20"/>
    </row>
    <row r="21" spans="2:21">
      <c r="J21" s="1"/>
      <c r="M21" s="2"/>
      <c r="N21" s="2"/>
      <c r="O21" s="2"/>
      <c r="R21"/>
      <c r="S21"/>
      <c r="U21"/>
    </row>
    <row r="22" spans="2:21">
      <c r="J22" s="1"/>
      <c r="M22" s="2"/>
      <c r="N22" s="2"/>
      <c r="O22" s="2"/>
      <c r="R22"/>
      <c r="S22"/>
      <c r="U22"/>
    </row>
    <row r="23" spans="2:21">
      <c r="J23" s="1"/>
      <c r="M23" s="2"/>
      <c r="N23" s="2"/>
      <c r="O23" s="2"/>
      <c r="R23"/>
      <c r="S23"/>
      <c r="U23"/>
    </row>
    <row r="24" spans="2:21">
      <c r="J24" s="1"/>
      <c r="M24" s="2"/>
      <c r="N24" s="2"/>
      <c r="O24" s="2"/>
      <c r="R24"/>
      <c r="S24"/>
      <c r="U24"/>
    </row>
    <row r="25" spans="2:21">
      <c r="J25" s="1"/>
      <c r="M25" s="2"/>
      <c r="N25" s="2"/>
      <c r="O25" s="2"/>
      <c r="R25"/>
      <c r="S25"/>
      <c r="U25"/>
    </row>
    <row r="26" spans="2:21">
      <c r="J26" s="1"/>
      <c r="M26" s="2"/>
      <c r="N26" s="2"/>
      <c r="O26" s="2"/>
      <c r="R26"/>
      <c r="S26"/>
      <c r="U26"/>
    </row>
    <row r="27" spans="2:21">
      <c r="J27" s="1"/>
      <c r="M27" s="2"/>
      <c r="N27" s="2"/>
      <c r="O27" s="2"/>
      <c r="R27"/>
      <c r="S27"/>
      <c r="U27"/>
    </row>
    <row r="28" spans="2:21">
      <c r="J28" s="1"/>
      <c r="M28" s="2"/>
      <c r="N28" s="2"/>
      <c r="O28" s="2"/>
      <c r="R28"/>
      <c r="S28"/>
      <c r="U28"/>
    </row>
    <row r="29" spans="2:21">
      <c r="J29" s="1"/>
      <c r="M29" s="2"/>
      <c r="N29" s="2"/>
      <c r="O29" s="2"/>
      <c r="R29"/>
      <c r="S29"/>
      <c r="U29"/>
    </row>
    <row r="30" spans="2:21">
      <c r="J30" s="1"/>
      <c r="M30" s="2"/>
      <c r="N30" s="2"/>
      <c r="O30" s="2"/>
      <c r="R30"/>
      <c r="S30"/>
      <c r="U30"/>
    </row>
    <row r="31" spans="2:21">
      <c r="J31" s="1"/>
      <c r="M31" s="2"/>
      <c r="N31" s="2"/>
      <c r="O31" s="2"/>
      <c r="R31"/>
      <c r="S31"/>
      <c r="U31"/>
    </row>
    <row r="32" spans="2:21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H83" s="1"/>
      <c r="K83" s="2"/>
      <c r="L83" s="2"/>
      <c r="M83" s="2"/>
      <c r="N83"/>
      <c r="O83" s="2"/>
      <c r="Q83"/>
      <c r="R83"/>
      <c r="S83"/>
      <c r="U83"/>
    </row>
    <row r="84" spans="8:21">
      <c r="H84" s="1"/>
      <c r="K84" s="2"/>
      <c r="L84" s="2"/>
      <c r="M84" s="2"/>
      <c r="N84"/>
      <c r="O84" s="2"/>
      <c r="Q84"/>
      <c r="R84"/>
      <c r="S84"/>
      <c r="U84"/>
    </row>
    <row r="85" spans="8:21">
      <c r="H85" s="1"/>
      <c r="K85" s="2"/>
      <c r="L85" s="2"/>
      <c r="M85" s="2"/>
      <c r="N85"/>
      <c r="O85" s="2"/>
      <c r="Q85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J111" s="1"/>
      <c r="M111" s="2"/>
      <c r="N111" s="2"/>
      <c r="O111" s="2"/>
      <c r="R111"/>
      <c r="S111"/>
      <c r="U111"/>
    </row>
    <row r="112" spans="8:21">
      <c r="J112" s="1"/>
      <c r="M112" s="2"/>
      <c r="N112" s="2"/>
      <c r="O112" s="2"/>
      <c r="R112"/>
      <c r="S112"/>
      <c r="U112"/>
    </row>
    <row r="113" spans="10:21">
      <c r="J113" s="1"/>
      <c r="M113" s="2"/>
      <c r="N113" s="2"/>
      <c r="O113" s="2"/>
      <c r="R113"/>
      <c r="S113"/>
      <c r="U113"/>
    </row>
    <row r="114" spans="10:21">
      <c r="J114" s="1"/>
      <c r="M114" s="2"/>
      <c r="N114" s="2"/>
      <c r="O114" s="2"/>
      <c r="R114"/>
      <c r="S114"/>
      <c r="U114"/>
    </row>
    <row r="115" spans="10:21">
      <c r="J115" s="1"/>
      <c r="M115" s="2"/>
      <c r="N115" s="2"/>
      <c r="O115" s="2"/>
      <c r="R115"/>
      <c r="S115"/>
      <c r="U115"/>
    </row>
    <row r="116" spans="10:21">
      <c r="J116" s="1"/>
      <c r="M116" s="2"/>
      <c r="N116" s="2"/>
      <c r="O116" s="2"/>
      <c r="R116"/>
      <c r="S116"/>
      <c r="U116"/>
    </row>
    <row r="117" spans="10:21">
      <c r="J117" s="1"/>
      <c r="M117" s="2"/>
      <c r="N117" s="2"/>
      <c r="O117" s="2"/>
      <c r="R117"/>
      <c r="S117"/>
      <c r="U117"/>
    </row>
    <row r="118" spans="10:21">
      <c r="J118" s="1"/>
      <c r="M118" s="2"/>
      <c r="N118" s="2"/>
      <c r="O118" s="2"/>
      <c r="R118"/>
      <c r="S118"/>
      <c r="U118"/>
    </row>
    <row r="119" spans="10:21">
      <c r="J119" s="1"/>
      <c r="M119" s="2"/>
      <c r="N119" s="2"/>
      <c r="O119" s="2"/>
      <c r="R119"/>
      <c r="S119"/>
      <c r="U119"/>
    </row>
    <row r="120" spans="10:21">
      <c r="J120" s="1"/>
      <c r="M120" s="2"/>
      <c r="N120" s="2"/>
      <c r="O120" s="2"/>
      <c r="R120"/>
      <c r="S120"/>
      <c r="U120"/>
    </row>
    <row r="121" spans="10:21">
      <c r="J121" s="1"/>
      <c r="M121" s="2"/>
      <c r="N121" s="2"/>
      <c r="O121" s="2"/>
      <c r="R121"/>
      <c r="S121"/>
      <c r="U121"/>
    </row>
    <row r="122" spans="10:21">
      <c r="J122" s="1"/>
      <c r="M122" s="2"/>
      <c r="N122" s="2"/>
      <c r="O122" s="2"/>
      <c r="R122"/>
      <c r="S122"/>
      <c r="U122"/>
    </row>
    <row r="123" spans="10:21">
      <c r="J123" s="1"/>
      <c r="M123" s="2"/>
      <c r="N123" s="2"/>
      <c r="O123" s="2"/>
      <c r="R123"/>
      <c r="S123"/>
      <c r="U123"/>
    </row>
    <row r="124" spans="10:21">
      <c r="J124" s="1"/>
      <c r="M124" s="2"/>
      <c r="N124" s="2"/>
      <c r="O124" s="2"/>
      <c r="R124"/>
      <c r="S124"/>
      <c r="U124"/>
    </row>
    <row r="125" spans="10:21">
      <c r="J125" s="1"/>
      <c r="M125" s="2"/>
      <c r="N125" s="2"/>
      <c r="O125" s="2"/>
      <c r="R125"/>
      <c r="S125"/>
      <c r="U125"/>
    </row>
    <row r="126" spans="10:21">
      <c r="J126" s="1"/>
      <c r="M126" s="2"/>
      <c r="N126" s="2"/>
      <c r="O126" s="2"/>
      <c r="R126"/>
      <c r="S126"/>
      <c r="U126"/>
    </row>
    <row r="127" spans="10:21">
      <c r="J127" s="1"/>
      <c r="M127" s="2"/>
      <c r="N127" s="2"/>
      <c r="O127" s="2"/>
      <c r="R127"/>
      <c r="S127"/>
      <c r="U127"/>
    </row>
    <row r="128" spans="10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</sheetData>
  <sortState ref="B5:V15">
    <sortCondition ref="D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75"/>
  <sheetViews>
    <sheetView tabSelected="1" workbookViewId="0">
      <selection activeCell="J10" sqref="J10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27</v>
      </c>
      <c r="C5" s="28">
        <f>2+5+4+3+6+5</f>
        <v>25</v>
      </c>
      <c r="D5" s="6">
        <f>(75+76+70+74+73+74+76+79+75+73+73+80+76+82+71+79+80+74+82+83+76+79+76+76+78)/25</f>
        <v>76.400000000000006</v>
      </c>
      <c r="E5" s="6">
        <f>(72+73+67+72+71+72+74+76+72+70+69+76+72+79+67+77+76+71+79+80+72+75+72+72+73)/25</f>
        <v>73.16</v>
      </c>
      <c r="F5" s="5">
        <f>4+13+12+5+5+5</f>
        <v>44</v>
      </c>
      <c r="G5" s="7">
        <f t="shared" ref="G5:G18" si="0">F5/C5</f>
        <v>1.76</v>
      </c>
      <c r="H5" s="28">
        <f>0+1</f>
        <v>1</v>
      </c>
      <c r="I5" s="28">
        <f>1+1+1+1</f>
        <v>4</v>
      </c>
      <c r="J5" s="5">
        <f>0+1+2</f>
        <v>3</v>
      </c>
      <c r="K5" s="5">
        <f t="shared" ref="K5:K18" si="1">I5-J5</f>
        <v>1</v>
      </c>
      <c r="L5" s="7">
        <f t="shared" ref="L5:L18" si="2">I5/C5</f>
        <v>0.16</v>
      </c>
      <c r="M5" s="7">
        <f t="shared" ref="M5:M18" si="3">J5/C5</f>
        <v>0.12</v>
      </c>
      <c r="N5" s="8">
        <f>0</f>
        <v>0</v>
      </c>
      <c r="O5" s="7">
        <f t="shared" ref="O5:O18" si="4">N5/C5</f>
        <v>0</v>
      </c>
      <c r="P5" s="28">
        <f>1+1+1</f>
        <v>3</v>
      </c>
      <c r="Q5" s="7">
        <f t="shared" ref="Q5:Q18" si="5">P5/C5</f>
        <v>0.12</v>
      </c>
      <c r="R5" s="7">
        <f>-1.5-6.25-7.75-2-15.75-11.25</f>
        <v>-44.5</v>
      </c>
      <c r="S5" s="7">
        <f t="shared" ref="S5:S18" si="6">R5/C5</f>
        <v>-1.78</v>
      </c>
      <c r="T5" s="5">
        <f>3+5+6+9+14+5</f>
        <v>42</v>
      </c>
      <c r="U5" s="7">
        <f t="shared" ref="U5:U18" si="7">T5/C5</f>
        <v>1.68</v>
      </c>
      <c r="V5" s="24">
        <f>0-2+0+2+3+8</f>
        <v>11</v>
      </c>
    </row>
    <row r="6" spans="1:22">
      <c r="A6" s="9"/>
      <c r="B6" s="10" t="s">
        <v>28</v>
      </c>
      <c r="C6" s="16">
        <f>3+5+4+4+6+3</f>
        <v>25</v>
      </c>
      <c r="D6" s="12">
        <f>(80+84+75+74+80+74+86+82+85+83+75+82+79+81+81+84+88+83+91+84+87+79+79+89+86)/25</f>
        <v>82.04</v>
      </c>
      <c r="E6" s="12">
        <f>(73+77+68+67+74+67+79+75+79+68+76+75+72+74+74+77+81+75+84+77+80+72+70+81+78)/25</f>
        <v>74.92</v>
      </c>
      <c r="F6" s="11">
        <f>5+4+2+1+2+2</f>
        <v>16</v>
      </c>
      <c r="G6" s="13">
        <f t="shared" si="0"/>
        <v>0.64</v>
      </c>
      <c r="H6" s="11">
        <f>0+1+1</f>
        <v>2</v>
      </c>
      <c r="I6" s="11">
        <f>1+1+2</f>
        <v>4</v>
      </c>
      <c r="J6" s="11">
        <f>1+1+1+1+4+1</f>
        <v>9</v>
      </c>
      <c r="K6" s="11">
        <f t="shared" si="1"/>
        <v>-5</v>
      </c>
      <c r="L6" s="13">
        <f t="shared" si="2"/>
        <v>0.16</v>
      </c>
      <c r="M6" s="13">
        <f t="shared" si="3"/>
        <v>0.36</v>
      </c>
      <c r="N6" s="14">
        <f>0</f>
        <v>0</v>
      </c>
      <c r="O6" s="13">
        <f t="shared" si="4"/>
        <v>0</v>
      </c>
      <c r="P6" s="11">
        <f>1+2+1</f>
        <v>4</v>
      </c>
      <c r="Q6" s="13">
        <f t="shared" si="5"/>
        <v>0.16</v>
      </c>
      <c r="R6" s="13">
        <f>-8-4.25+2.75-0.5+7.25+2</f>
        <v>-0.75</v>
      </c>
      <c r="S6" s="13">
        <f t="shared" si="6"/>
        <v>-0.03</v>
      </c>
      <c r="T6" s="11">
        <f>9+11+9+12+25+15</f>
        <v>81</v>
      </c>
      <c r="U6" s="13">
        <f t="shared" si="7"/>
        <v>3.24</v>
      </c>
      <c r="V6" s="15">
        <f>4-1+1-4+0-2</f>
        <v>-2</v>
      </c>
    </row>
    <row r="7" spans="1:22">
      <c r="A7" s="9"/>
      <c r="B7" s="10" t="s">
        <v>24</v>
      </c>
      <c r="C7" s="16">
        <f>4+4+3+9+3</f>
        <v>23</v>
      </c>
      <c r="D7" s="12">
        <f>(71+85+71+73+74+68+69+68+74+74+73+71+73+74+74+74+78+75+77+72+75+78+71)/23</f>
        <v>73.565217391304344</v>
      </c>
      <c r="E7" s="12">
        <f>(71+85+71+73+74+68+69+68+73+74+72+70+71+72+73+73+77+74+76+70+73+76+69)/23</f>
        <v>72.695652173913047</v>
      </c>
      <c r="F7" s="11">
        <f>10+12+8+20+6</f>
        <v>56</v>
      </c>
      <c r="G7" s="13">
        <f t="shared" si="0"/>
        <v>2.4347826086956523</v>
      </c>
      <c r="H7" s="11">
        <f>0</f>
        <v>0</v>
      </c>
      <c r="I7" s="11">
        <f>0+1+2</f>
        <v>3</v>
      </c>
      <c r="J7" s="11">
        <f>3</f>
        <v>3</v>
      </c>
      <c r="K7" s="11">
        <f t="shared" si="1"/>
        <v>0</v>
      </c>
      <c r="L7" s="13">
        <f t="shared" si="2"/>
        <v>0.13043478260869565</v>
      </c>
      <c r="M7" s="13">
        <f t="shared" si="3"/>
        <v>0.13043478260869565</v>
      </c>
      <c r="N7" s="14">
        <f>3</f>
        <v>3</v>
      </c>
      <c r="O7" s="13">
        <f t="shared" si="4"/>
        <v>0.13043478260869565</v>
      </c>
      <c r="P7" s="11">
        <f>3+1</f>
        <v>4</v>
      </c>
      <c r="Q7" s="13">
        <f t="shared" si="5"/>
        <v>0.17391304347826086</v>
      </c>
      <c r="R7" s="13">
        <f>2.5-5.25-4.25-26.75-5.5</f>
        <v>-39.25</v>
      </c>
      <c r="S7" s="13">
        <f t="shared" si="6"/>
        <v>-1.7065217391304348</v>
      </c>
      <c r="T7" s="11">
        <f>7+1+1+8+3</f>
        <v>20</v>
      </c>
      <c r="U7" s="13">
        <f t="shared" si="7"/>
        <v>0.86956521739130432</v>
      </c>
      <c r="V7" s="15">
        <f>3-1+3+10+1</f>
        <v>16</v>
      </c>
    </row>
    <row r="8" spans="1:22">
      <c r="A8" s="9"/>
      <c r="B8" s="10" t="s">
        <v>32</v>
      </c>
      <c r="C8" s="16">
        <f>2+1+3+5+6+5</f>
        <v>22</v>
      </c>
      <c r="D8" s="12">
        <f>(83+77+82+76+81+75+82+81+79+77+79+83+79+80+87+83+76+74+85+79+79+89)/22</f>
        <v>80.272727272727266</v>
      </c>
      <c r="E8" s="12">
        <f>(78+72+78+70+75+70+77+76+74+72+74+78+74+75+82+78+71+68+79+73+74+83)/22</f>
        <v>75.045454545454547</v>
      </c>
      <c r="F8" s="11">
        <f>3+2+5+7+1+6</f>
        <v>24</v>
      </c>
      <c r="G8" s="13">
        <f t="shared" si="0"/>
        <v>1.0909090909090908</v>
      </c>
      <c r="H8" s="16">
        <f>0</f>
        <v>0</v>
      </c>
      <c r="I8" s="11">
        <f>1+1</f>
        <v>2</v>
      </c>
      <c r="J8" s="11">
        <f>2+1+6</f>
        <v>9</v>
      </c>
      <c r="K8" s="11">
        <f t="shared" si="1"/>
        <v>-7</v>
      </c>
      <c r="L8" s="13">
        <f t="shared" si="2"/>
        <v>9.0909090909090912E-2</v>
      </c>
      <c r="M8" s="13">
        <f t="shared" si="3"/>
        <v>0.40909090909090912</v>
      </c>
      <c r="N8" s="14">
        <f>0</f>
        <v>0</v>
      </c>
      <c r="O8" s="13">
        <f t="shared" si="4"/>
        <v>0</v>
      </c>
      <c r="P8" s="11">
        <f>0+1</f>
        <v>1</v>
      </c>
      <c r="Q8" s="13">
        <f t="shared" si="5"/>
        <v>4.5454545454545456E-2</v>
      </c>
      <c r="R8" s="13">
        <f>-2.25+5.5-4.75+4.25-2.5+1.75</f>
        <v>2</v>
      </c>
      <c r="S8" s="13">
        <f t="shared" si="6"/>
        <v>9.0909090909090912E-2</v>
      </c>
      <c r="T8" s="11">
        <f>5+3+5+12+14+14</f>
        <v>53</v>
      </c>
      <c r="U8" s="13">
        <f t="shared" si="7"/>
        <v>2.4090909090909092</v>
      </c>
      <c r="V8" s="15">
        <f>-1+0+3+1+3</f>
        <v>6</v>
      </c>
    </row>
    <row r="9" spans="1:22">
      <c r="A9" s="9"/>
      <c r="B9" s="10" t="s">
        <v>26</v>
      </c>
      <c r="C9" s="16">
        <f>2+2+2+7+6+2</f>
        <v>21</v>
      </c>
      <c r="D9" s="12">
        <f>(77+76+84+75+79+73+86+83+78+78+75+75+84+83+74+91+87+87+81+82+76)/21</f>
        <v>80.19047619047619</v>
      </c>
      <c r="E9" s="12">
        <f>(71+70+78+69+73+67+81+78+73+73+70+69+78+78+69+86+82+82+76+76+70)/21</f>
        <v>74.714285714285708</v>
      </c>
      <c r="F9" s="11">
        <f>5+1+3+12+7+4</f>
        <v>32</v>
      </c>
      <c r="G9" s="13">
        <f t="shared" si="0"/>
        <v>1.5238095238095237</v>
      </c>
      <c r="H9" s="16">
        <f>0</f>
        <v>0</v>
      </c>
      <c r="I9" s="16">
        <f>1+1+1</f>
        <v>3</v>
      </c>
      <c r="J9" s="11">
        <f>0+3+8+1</f>
        <v>12</v>
      </c>
      <c r="K9" s="11">
        <f t="shared" si="1"/>
        <v>-9</v>
      </c>
      <c r="L9" s="13">
        <f t="shared" si="2"/>
        <v>0.14285714285714285</v>
      </c>
      <c r="M9" s="13">
        <f t="shared" si="3"/>
        <v>0.5714285714285714</v>
      </c>
      <c r="N9" s="14">
        <f>0</f>
        <v>0</v>
      </c>
      <c r="O9" s="13">
        <f t="shared" si="4"/>
        <v>0</v>
      </c>
      <c r="P9" s="16">
        <f>1+1+1+1</f>
        <v>4</v>
      </c>
      <c r="Q9" s="13">
        <f t="shared" si="5"/>
        <v>0.19047619047619047</v>
      </c>
      <c r="R9" s="13">
        <f>-3-0.25-3.25+4.75+13.75-2</f>
        <v>10</v>
      </c>
      <c r="S9" s="13">
        <f t="shared" si="6"/>
        <v>0.47619047619047616</v>
      </c>
      <c r="T9" s="11">
        <f>1+5+3+19+27+5</f>
        <v>60</v>
      </c>
      <c r="U9" s="13">
        <f t="shared" si="7"/>
        <v>2.8571428571428572</v>
      </c>
      <c r="V9" s="15">
        <f>0-1-1-2-7-1</f>
        <v>-12</v>
      </c>
    </row>
    <row r="10" spans="1:22">
      <c r="A10" s="9"/>
      <c r="B10" s="10" t="s">
        <v>31</v>
      </c>
      <c r="C10" s="16">
        <f>1+3+4+2+6+4</f>
        <v>20</v>
      </c>
      <c r="D10" s="12">
        <f>(79+78+78+74+75+78+74+79+80+82+86+89+77+78+82+82+80+75+79+81)/20</f>
        <v>79.3</v>
      </c>
      <c r="E10" s="12">
        <f>(75+74+74+70+71+75+70+75+77+79+83+85+73+74+78+79+76+71+76+78)/20</f>
        <v>75.650000000000006</v>
      </c>
      <c r="F10" s="11">
        <f>0+3+6+5+4+5</f>
        <v>23</v>
      </c>
      <c r="G10" s="13">
        <f t="shared" si="0"/>
        <v>1.1499999999999999</v>
      </c>
      <c r="H10" s="11">
        <f>0</f>
        <v>0</v>
      </c>
      <c r="I10" s="11">
        <f>0+1+1+1+1</f>
        <v>4</v>
      </c>
      <c r="J10" s="11">
        <f>0+2+1+3</f>
        <v>6</v>
      </c>
      <c r="K10" s="11">
        <f t="shared" si="1"/>
        <v>-2</v>
      </c>
      <c r="L10" s="13">
        <f t="shared" si="2"/>
        <v>0.2</v>
      </c>
      <c r="M10" s="13">
        <f t="shared" si="3"/>
        <v>0.3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-0.5-3.25-4.25+0.5+17.75+4.25</f>
        <v>14.5</v>
      </c>
      <c r="S10" s="13">
        <f t="shared" si="6"/>
        <v>0.72499999999999998</v>
      </c>
      <c r="T10" s="11">
        <f>0+3+3+4+15+10</f>
        <v>35</v>
      </c>
      <c r="U10" s="13">
        <f t="shared" si="7"/>
        <v>1.75</v>
      </c>
      <c r="V10" s="15">
        <f>1+4+2-2-5+2</f>
        <v>2</v>
      </c>
    </row>
    <row r="11" spans="1:22">
      <c r="A11" s="9"/>
      <c r="B11" s="10" t="s">
        <v>25</v>
      </c>
      <c r="C11" s="16">
        <f>1+3+3+1+7+2</f>
        <v>17</v>
      </c>
      <c r="D11" s="12">
        <f>(73+76+71+74+70+71+70+73+76+72+82+72+73+79+76+72+72)/17</f>
        <v>73.647058823529406</v>
      </c>
      <c r="E11" s="12">
        <f>(73+76+71+74+70+71+70+73+76+72+82+72+73+79+76+72+72)/17</f>
        <v>73.647058823529406</v>
      </c>
      <c r="F11" s="11">
        <f>2+7+8+3+13+9</f>
        <v>42</v>
      </c>
      <c r="G11" s="13">
        <f t="shared" si="0"/>
        <v>2.4705882352941178</v>
      </c>
      <c r="H11" s="16">
        <f>0+1</f>
        <v>1</v>
      </c>
      <c r="I11" s="11">
        <f>1+3+1+1</f>
        <v>6</v>
      </c>
      <c r="J11" s="11">
        <f>0+1</f>
        <v>1</v>
      </c>
      <c r="K11" s="11">
        <f t="shared" si="1"/>
        <v>5</v>
      </c>
      <c r="L11" s="13">
        <f t="shared" si="2"/>
        <v>0.35294117647058826</v>
      </c>
      <c r="M11" s="13">
        <f t="shared" si="3"/>
        <v>5.8823529411764705E-2</v>
      </c>
      <c r="N11" s="14">
        <f>0</f>
        <v>0</v>
      </c>
      <c r="O11" s="13">
        <f t="shared" si="4"/>
        <v>0</v>
      </c>
      <c r="P11" s="11">
        <f>0</f>
        <v>0</v>
      </c>
      <c r="Q11" s="13">
        <f t="shared" si="5"/>
        <v>0</v>
      </c>
      <c r="R11" s="13">
        <f>-4.25-0.25-8.5-0.5-2-4.75</f>
        <v>-20.25</v>
      </c>
      <c r="S11" s="13">
        <f t="shared" si="6"/>
        <v>-1.1911764705882353</v>
      </c>
      <c r="T11" s="11">
        <f>1+4+8+2</f>
        <v>15</v>
      </c>
      <c r="U11" s="13">
        <f t="shared" si="7"/>
        <v>0.88235294117647056</v>
      </c>
      <c r="V11" s="15">
        <f>-1+0+0-2+2</f>
        <v>-1</v>
      </c>
    </row>
    <row r="12" spans="1:22">
      <c r="A12" s="9"/>
      <c r="B12" s="10" t="s">
        <v>23</v>
      </c>
      <c r="C12" s="11">
        <f>2+2+2+3+2+4</f>
        <v>15</v>
      </c>
      <c r="D12" s="12">
        <f>(78+69+69+76+71+77+72+76+76+75+72+75+71+77+70)/15</f>
        <v>73.599999999999994</v>
      </c>
      <c r="E12" s="12">
        <f>(79+70+70+77+71+78+73+77+77+75+72+75+71+77+70)/15</f>
        <v>74.13333333333334</v>
      </c>
      <c r="F12" s="11">
        <f>4+6+5+3+2+9</f>
        <v>29</v>
      </c>
      <c r="G12" s="13">
        <f t="shared" si="0"/>
        <v>1.9333333333333333</v>
      </c>
      <c r="H12" s="16">
        <f>0</f>
        <v>0</v>
      </c>
      <c r="I12" s="11">
        <f>1+4+1</f>
        <v>6</v>
      </c>
      <c r="J12" s="11">
        <f>1+1</f>
        <v>2</v>
      </c>
      <c r="K12" s="11">
        <f t="shared" si="1"/>
        <v>4</v>
      </c>
      <c r="L12" s="13">
        <f t="shared" si="2"/>
        <v>0.4</v>
      </c>
      <c r="M12" s="13">
        <f t="shared" si="3"/>
        <v>0.13333333333333333</v>
      </c>
      <c r="N12" s="14">
        <f>1+1</f>
        <v>2</v>
      </c>
      <c r="O12" s="13">
        <f t="shared" si="4"/>
        <v>0.13333333333333333</v>
      </c>
      <c r="P12" s="16">
        <f>0</f>
        <v>0</v>
      </c>
      <c r="Q12" s="13">
        <f t="shared" si="5"/>
        <v>0</v>
      </c>
      <c r="R12" s="13">
        <f>2.5-2.5+6+3.25+2-5.25</f>
        <v>6</v>
      </c>
      <c r="S12" s="13">
        <f t="shared" si="6"/>
        <v>0.4</v>
      </c>
      <c r="T12" s="11">
        <f>2+1+2+3+2</f>
        <v>10</v>
      </c>
      <c r="U12" s="13">
        <f t="shared" si="7"/>
        <v>0.66666666666666663</v>
      </c>
      <c r="V12" s="15">
        <f>0+0+0+4+1+5</f>
        <v>10</v>
      </c>
    </row>
    <row r="13" spans="1:22">
      <c r="A13" s="9"/>
      <c r="B13" s="10" t="s">
        <v>33</v>
      </c>
      <c r="C13" s="16">
        <f>1+0+1+2+4+4</f>
        <v>12</v>
      </c>
      <c r="D13" s="12">
        <f>(76+83+75+85+87+85+91+89+84+82+76+78)/12</f>
        <v>82.583333333333329</v>
      </c>
      <c r="E13" s="12">
        <f>(71+74+67+80+79+78+83+81+75+73+67+69)/12</f>
        <v>74.75</v>
      </c>
      <c r="F13" s="11">
        <f>1+2+3+2+6</f>
        <v>14</v>
      </c>
      <c r="G13" s="13">
        <f t="shared" si="0"/>
        <v>1.1666666666666667</v>
      </c>
      <c r="H13" s="11">
        <f>0</f>
        <v>0</v>
      </c>
      <c r="I13" s="11">
        <f>1+1</f>
        <v>2</v>
      </c>
      <c r="J13" s="11">
        <f>1+7+2</f>
        <v>10</v>
      </c>
      <c r="K13" s="11">
        <f t="shared" si="1"/>
        <v>-8</v>
      </c>
      <c r="L13" s="13">
        <f t="shared" si="2"/>
        <v>0.16666666666666666</v>
      </c>
      <c r="M13" s="13">
        <f t="shared" si="3"/>
        <v>0.83333333333333337</v>
      </c>
      <c r="N13" s="14">
        <f>0</f>
        <v>0</v>
      </c>
      <c r="O13" s="13">
        <f t="shared" si="4"/>
        <v>0</v>
      </c>
      <c r="P13" s="11">
        <f>1+2</f>
        <v>3</v>
      </c>
      <c r="Q13" s="13">
        <f t="shared" si="5"/>
        <v>0.25</v>
      </c>
      <c r="R13" s="13">
        <f>-3.25+2.25+0.5+8.5-9.5</f>
        <v>-1.5</v>
      </c>
      <c r="S13" s="13">
        <f t="shared" si="6"/>
        <v>-0.125</v>
      </c>
      <c r="T13" s="11">
        <f>0+3+7+26+13</f>
        <v>49</v>
      </c>
      <c r="U13" s="13">
        <f t="shared" si="7"/>
        <v>4.083333333333333</v>
      </c>
      <c r="V13" s="15">
        <f>2-1-1-6+3</f>
        <v>-3</v>
      </c>
    </row>
    <row r="14" spans="1:22">
      <c r="A14" s="9"/>
      <c r="B14" s="10" t="s">
        <v>34</v>
      </c>
      <c r="C14" s="16">
        <f>2+2+2+2+4</f>
        <v>12</v>
      </c>
      <c r="D14" s="12">
        <f>(85+86+74+79+79+81+79+82+79+80+76+76)/12</f>
        <v>79.666666666666671</v>
      </c>
      <c r="E14" s="12">
        <f>(82+83+70+74+79+78+75+78+75+77+73+72)/12</f>
        <v>76.333333333333329</v>
      </c>
      <c r="F14" s="11">
        <f>0+3+1+3</f>
        <v>7</v>
      </c>
      <c r="G14" s="13">
        <f t="shared" si="0"/>
        <v>0.58333333333333337</v>
      </c>
      <c r="H14" s="11">
        <f>0</f>
        <v>0</v>
      </c>
      <c r="I14" s="11">
        <f>1+1</f>
        <v>2</v>
      </c>
      <c r="J14" s="11">
        <f>1+1+2+1</f>
        <v>5</v>
      </c>
      <c r="K14" s="11">
        <f t="shared" si="1"/>
        <v>-3</v>
      </c>
      <c r="L14" s="13">
        <f t="shared" si="2"/>
        <v>0.16666666666666666</v>
      </c>
      <c r="M14" s="13">
        <f t="shared" si="3"/>
        <v>0.41666666666666669</v>
      </c>
      <c r="N14" s="14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7-2.25+1-1.5+1</f>
        <v>5.25</v>
      </c>
      <c r="S14" s="13">
        <f t="shared" si="6"/>
        <v>0.4375</v>
      </c>
      <c r="T14" s="11">
        <f>5+3+2+4+3</f>
        <v>17</v>
      </c>
      <c r="U14" s="13">
        <f t="shared" si="7"/>
        <v>1.4166666666666667</v>
      </c>
      <c r="V14" s="15">
        <f>-3+1-2-2-1</f>
        <v>-7</v>
      </c>
    </row>
    <row r="15" spans="1:22">
      <c r="A15" s="9"/>
      <c r="B15" s="10" t="s">
        <v>30</v>
      </c>
      <c r="C15" s="16">
        <f>2+1+3+2+2+1</f>
        <v>11</v>
      </c>
      <c r="D15" s="12">
        <f>(92+86+83+85+93+87+90+87+89+91+85)/11</f>
        <v>88</v>
      </c>
      <c r="E15" s="12">
        <f>(82+76+73+75+83+77+80+76+79+81+74)/11</f>
        <v>77.818181818181813</v>
      </c>
      <c r="F15" s="11">
        <f>1+0+1+1</f>
        <v>3</v>
      </c>
      <c r="G15" s="13">
        <f t="shared" si="0"/>
        <v>0.27272727272727271</v>
      </c>
      <c r="H15" s="16">
        <f>0</f>
        <v>0</v>
      </c>
      <c r="I15" s="11">
        <f>0+1</f>
        <v>1</v>
      </c>
      <c r="J15" s="11">
        <f>0+2+2+5+1</f>
        <v>10</v>
      </c>
      <c r="K15" s="11">
        <f t="shared" si="1"/>
        <v>-9</v>
      </c>
      <c r="L15" s="13">
        <f t="shared" si="2"/>
        <v>9.0909090909090912E-2</v>
      </c>
      <c r="M15" s="13">
        <f t="shared" si="3"/>
        <v>0.90909090909090906</v>
      </c>
      <c r="N15" s="14">
        <f>0</f>
        <v>0</v>
      </c>
      <c r="O15" s="13">
        <f t="shared" si="4"/>
        <v>0</v>
      </c>
      <c r="P15" s="16">
        <f>0</f>
        <v>0</v>
      </c>
      <c r="Q15" s="13">
        <f t="shared" si="5"/>
        <v>0</v>
      </c>
      <c r="R15" s="13">
        <f>11.25+2.25+14.75+11.25+6.75-2</f>
        <v>44.25</v>
      </c>
      <c r="S15" s="13">
        <f t="shared" si="6"/>
        <v>4.0227272727272725</v>
      </c>
      <c r="T15" s="11">
        <f>11+5+17+10+13+5</f>
        <v>61</v>
      </c>
      <c r="U15" s="13">
        <f t="shared" si="7"/>
        <v>5.5454545454545459</v>
      </c>
      <c r="V15" s="15">
        <f>-1+1-3-3-2-3</f>
        <v>-11</v>
      </c>
    </row>
    <row r="16" spans="1:22">
      <c r="A16" s="9"/>
      <c r="B16" s="10" t="s">
        <v>22</v>
      </c>
      <c r="C16" s="11">
        <f>1+3+1+1+1+2</f>
        <v>9</v>
      </c>
      <c r="D16" s="12">
        <f>(70+70+71+71+64+74+69+74+77)/9</f>
        <v>71.111111111111114</v>
      </c>
      <c r="E16" s="12">
        <f>(72+72+73+73+66+76+69+74+77)/9</f>
        <v>72.444444444444443</v>
      </c>
      <c r="F16" s="11">
        <f>3+9+6+2+4+3</f>
        <v>27</v>
      </c>
      <c r="G16" s="13">
        <f t="shared" si="0"/>
        <v>3</v>
      </c>
      <c r="H16" s="11">
        <f>0</f>
        <v>0</v>
      </c>
      <c r="I16" s="11">
        <f>1</f>
        <v>1</v>
      </c>
      <c r="J16" s="11">
        <f>0</f>
        <v>0</v>
      </c>
      <c r="K16" s="11">
        <f t="shared" si="1"/>
        <v>1</v>
      </c>
      <c r="L16" s="13">
        <f t="shared" si="2"/>
        <v>0.1111111111111111</v>
      </c>
      <c r="M16" s="13">
        <f t="shared" si="3"/>
        <v>0</v>
      </c>
      <c r="N16" s="14">
        <f>0+1+1</f>
        <v>2</v>
      </c>
      <c r="O16" s="13">
        <f t="shared" si="4"/>
        <v>0.22222222222222221</v>
      </c>
      <c r="P16" s="11">
        <f>0+1+1</f>
        <v>2</v>
      </c>
      <c r="Q16" s="13">
        <f t="shared" si="5"/>
        <v>0.22222222222222221</v>
      </c>
      <c r="R16" s="13">
        <f>0.5+0-4.5+3.25-3.5+0.5</f>
        <v>-3.75</v>
      </c>
      <c r="S16" s="13">
        <f t="shared" si="6"/>
        <v>-0.41666666666666669</v>
      </c>
      <c r="T16" s="11">
        <f>0+1+1+2</f>
        <v>4</v>
      </c>
      <c r="U16" s="13">
        <f t="shared" si="7"/>
        <v>0.44444444444444442</v>
      </c>
      <c r="V16" s="15">
        <f>1+1+2+1+2+0</f>
        <v>7</v>
      </c>
    </row>
    <row r="17" spans="1:22">
      <c r="A17" s="9"/>
      <c r="B17" s="10" t="s">
        <v>35</v>
      </c>
      <c r="C17" s="16">
        <f>3+2+4</f>
        <v>9</v>
      </c>
      <c r="D17" s="12">
        <f>(89+81+87+84+90+86+85+90+90)/9</f>
        <v>86.888888888888886</v>
      </c>
      <c r="E17" s="12">
        <f>(76+68+75+71+77+74+73+78+77)/9</f>
        <v>74.333333333333329</v>
      </c>
      <c r="F17" s="11">
        <f>1+1</f>
        <v>2</v>
      </c>
      <c r="G17" s="13">
        <f t="shared" si="0"/>
        <v>0.22222222222222221</v>
      </c>
      <c r="H17" s="16">
        <f>0</f>
        <v>0</v>
      </c>
      <c r="I17" s="11">
        <f>1</f>
        <v>1</v>
      </c>
      <c r="J17" s="11">
        <f>2+1+5</f>
        <v>8</v>
      </c>
      <c r="K17" s="11">
        <f t="shared" si="1"/>
        <v>-7</v>
      </c>
      <c r="L17" s="13">
        <f t="shared" si="2"/>
        <v>0.1111111111111111</v>
      </c>
      <c r="M17" s="13">
        <f t="shared" si="3"/>
        <v>0.88888888888888884</v>
      </c>
      <c r="N17" s="14">
        <f>0</f>
        <v>0</v>
      </c>
      <c r="O17" s="13">
        <f t="shared" si="4"/>
        <v>0</v>
      </c>
      <c r="P17" s="11">
        <f>1</f>
        <v>1</v>
      </c>
      <c r="Q17" s="13">
        <f t="shared" si="5"/>
        <v>0.1111111111111111</v>
      </c>
      <c r="R17" s="13">
        <f>-0.75-2+1</f>
        <v>-1.75</v>
      </c>
      <c r="S17" s="13">
        <f t="shared" si="6"/>
        <v>-0.19444444444444445</v>
      </c>
      <c r="T17" s="11">
        <f>11+8+15</f>
        <v>34</v>
      </c>
      <c r="U17" s="13">
        <f t="shared" si="7"/>
        <v>3.7777777777777777</v>
      </c>
      <c r="V17" s="15">
        <f>1+3-2</f>
        <v>2</v>
      </c>
    </row>
    <row r="18" spans="1:22" ht="15.75" thickBot="1">
      <c r="A18" s="17"/>
      <c r="B18" s="18" t="s">
        <v>29</v>
      </c>
      <c r="C18" s="20">
        <f>1+2+2+1+3</f>
        <v>9</v>
      </c>
      <c r="D18" s="19">
        <f>(82+85+79+88+83+81+82+84+82)/9</f>
        <v>82.888888888888886</v>
      </c>
      <c r="E18" s="19">
        <f>(76+78+72+82+77+74+74+76+74)/9</f>
        <v>75.888888888888886</v>
      </c>
      <c r="F18" s="20">
        <f>1+1+1+2+3</f>
        <v>8</v>
      </c>
      <c r="G18" s="21">
        <f t="shared" si="0"/>
        <v>0.88888888888888884</v>
      </c>
      <c r="H18" s="20">
        <f>0</f>
        <v>0</v>
      </c>
      <c r="I18" s="20">
        <f>1+1</f>
        <v>2</v>
      </c>
      <c r="J18" s="20">
        <f>1+2+3</f>
        <v>6</v>
      </c>
      <c r="K18" s="20">
        <f t="shared" si="1"/>
        <v>-4</v>
      </c>
      <c r="L18" s="21">
        <f t="shared" si="2"/>
        <v>0.22222222222222221</v>
      </c>
      <c r="M18" s="21">
        <f t="shared" si="3"/>
        <v>0.66666666666666663</v>
      </c>
      <c r="N18" s="29">
        <f>0</f>
        <v>0</v>
      </c>
      <c r="O18" s="21">
        <f t="shared" si="4"/>
        <v>0</v>
      </c>
      <c r="P18" s="20">
        <f>0</f>
        <v>0</v>
      </c>
      <c r="Q18" s="21">
        <f t="shared" si="5"/>
        <v>0</v>
      </c>
      <c r="R18" s="21">
        <f>-1.25+7+8.5+0.5-1</f>
        <v>13.75</v>
      </c>
      <c r="S18" s="21">
        <f t="shared" si="6"/>
        <v>1.5277777777777777</v>
      </c>
      <c r="T18" s="20">
        <f>4+6+8+3+11</f>
        <v>32</v>
      </c>
      <c r="U18" s="21">
        <f t="shared" si="7"/>
        <v>3.5555555555555554</v>
      </c>
      <c r="V18" s="22">
        <f>0-3-4+2-4</f>
        <v>-9</v>
      </c>
    </row>
    <row r="19" spans="1:22">
      <c r="B19" s="23"/>
    </row>
    <row r="20" spans="1:22">
      <c r="B20" s="23"/>
    </row>
    <row r="21" spans="1:22">
      <c r="J21" s="1"/>
      <c r="M21" s="2"/>
      <c r="N21" s="2"/>
      <c r="O21" s="2"/>
      <c r="R21"/>
      <c r="S21"/>
      <c r="U21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J114" s="1"/>
      <c r="M114" s="2"/>
      <c r="N114" s="2"/>
      <c r="O114" s="2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</sheetData>
  <sortState ref="B5:V18">
    <sortCondition descending="1" ref="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2016 - 1st Q</vt:lpstr>
      <vt:lpstr>2016 - 2nd 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2016-03-30T20:18:51Z</dcterms:created>
  <dcterms:modified xsi:type="dcterms:W3CDTF">2016-06-30T15:02:42Z</dcterms:modified>
</cp:coreProperties>
</file>