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45" windowWidth="14520" windowHeight="7395"/>
  </bookViews>
  <sheets>
    <sheet name="2015 Standings  " sheetId="1" r:id="rId1"/>
  </sheets>
  <calcPr calcId="125725"/>
</workbook>
</file>

<file path=xl/calcChain.xml><?xml version="1.0" encoding="utf-8"?>
<calcChain xmlns="http://schemas.openxmlformats.org/spreadsheetml/2006/main">
  <c r="U12" i="1"/>
  <c r="U25"/>
  <c r="U16"/>
  <c r="U9"/>
  <c r="V12"/>
  <c r="V25"/>
  <c r="V16"/>
  <c r="V9"/>
  <c r="Q25"/>
  <c r="Q16"/>
  <c r="Q9"/>
  <c r="P12"/>
  <c r="O12"/>
  <c r="P25"/>
  <c r="O25"/>
  <c r="P16"/>
  <c r="O16"/>
  <c r="P9"/>
  <c r="O9"/>
  <c r="U28" l="1"/>
  <c r="U5"/>
  <c r="U10"/>
  <c r="U8"/>
  <c r="V5"/>
  <c r="Q28"/>
  <c r="Q10"/>
  <c r="Q8"/>
  <c r="P28"/>
  <c r="O28"/>
  <c r="P5"/>
  <c r="O5"/>
  <c r="P10"/>
  <c r="O10"/>
  <c r="P8"/>
  <c r="O8"/>
  <c r="U7"/>
  <c r="U11"/>
  <c r="V11"/>
  <c r="V10"/>
  <c r="Q7"/>
  <c r="P7"/>
  <c r="O7"/>
  <c r="P11"/>
  <c r="O11"/>
  <c r="V7"/>
  <c r="Q5"/>
  <c r="S16"/>
  <c r="S11"/>
  <c r="Q11"/>
  <c r="U14"/>
  <c r="V14"/>
  <c r="S14"/>
  <c r="S12"/>
  <c r="P14"/>
  <c r="O14"/>
  <c r="S9"/>
  <c r="U24"/>
  <c r="V24"/>
  <c r="P24"/>
  <c r="O24"/>
  <c r="U13"/>
  <c r="U23"/>
  <c r="U36"/>
  <c r="V13"/>
  <c r="V36"/>
  <c r="Q12"/>
  <c r="Q23"/>
  <c r="P13"/>
  <c r="O13"/>
  <c r="P23"/>
  <c r="O23"/>
  <c r="P36"/>
  <c r="O36"/>
  <c r="U15"/>
  <c r="V15"/>
  <c r="S15"/>
  <c r="S24"/>
  <c r="P15"/>
  <c r="O15"/>
  <c r="Q14"/>
  <c r="R10"/>
  <c r="R9"/>
  <c r="U22"/>
  <c r="U27"/>
  <c r="V22"/>
  <c r="V27"/>
  <c r="S27"/>
  <c r="S22"/>
  <c r="P22"/>
  <c r="O22"/>
  <c r="P27"/>
  <c r="O27"/>
  <c r="U30"/>
  <c r="Q30"/>
  <c r="R30"/>
  <c r="R11"/>
  <c r="P30"/>
  <c r="O30"/>
  <c r="S7"/>
  <c r="S13"/>
  <c r="U6"/>
  <c r="V28"/>
  <c r="Q6"/>
  <c r="P6"/>
  <c r="O6"/>
  <c r="M23"/>
  <c r="L23"/>
  <c r="M36"/>
  <c r="L36"/>
  <c r="A36" l="1"/>
  <c r="E36"/>
  <c r="M24"/>
  <c r="L24"/>
  <c r="M15"/>
  <c r="L15"/>
  <c r="M13"/>
  <c r="L13"/>
  <c r="M10"/>
  <c r="L10"/>
  <c r="M12"/>
  <c r="L12"/>
  <c r="M7"/>
  <c r="L7"/>
  <c r="M28"/>
  <c r="L28"/>
  <c r="M22"/>
  <c r="L22"/>
  <c r="M6"/>
  <c r="L6"/>
  <c r="M9"/>
  <c r="L9"/>
  <c r="M8"/>
  <c r="L8"/>
  <c r="M5"/>
  <c r="L5"/>
  <c r="M14"/>
  <c r="L14"/>
  <c r="M11"/>
  <c r="L11"/>
  <c r="M16"/>
  <c r="L16"/>
  <c r="M25"/>
  <c r="L25"/>
  <c r="M27"/>
  <c r="L27"/>
  <c r="A21"/>
  <c r="M30"/>
  <c r="L30"/>
  <c r="V57"/>
  <c r="U57"/>
  <c r="T57"/>
  <c r="S57"/>
  <c r="R57"/>
  <c r="Q57"/>
  <c r="J57"/>
  <c r="I57"/>
  <c r="H57"/>
  <c r="F57"/>
  <c r="D57"/>
  <c r="C57"/>
  <c r="E49"/>
  <c r="A49"/>
  <c r="E48"/>
  <c r="A48"/>
  <c r="E47"/>
  <c r="A47"/>
  <c r="E46"/>
  <c r="A46"/>
  <c r="E45"/>
  <c r="A45"/>
  <c r="E44"/>
  <c r="A44"/>
  <c r="M39"/>
  <c r="E39"/>
  <c r="A39"/>
  <c r="M38"/>
  <c r="E38"/>
  <c r="A38"/>
  <c r="M37"/>
  <c r="E37"/>
  <c r="A37"/>
  <c r="E28"/>
  <c r="A28"/>
  <c r="M35"/>
  <c r="E35"/>
  <c r="A35"/>
  <c r="E30"/>
  <c r="A30"/>
  <c r="E25"/>
  <c r="A25"/>
  <c r="M34"/>
  <c r="E34"/>
  <c r="A34"/>
  <c r="E24"/>
  <c r="A24"/>
  <c r="M33"/>
  <c r="E33"/>
  <c r="A33"/>
  <c r="M32"/>
  <c r="E32"/>
  <c r="A32"/>
  <c r="E27"/>
  <c r="A27"/>
  <c r="M31"/>
  <c r="E31"/>
  <c r="A31"/>
  <c r="M29"/>
  <c r="E29"/>
  <c r="A29"/>
  <c r="E22"/>
  <c r="A22"/>
  <c r="E14"/>
  <c r="E23"/>
  <c r="A23"/>
  <c r="M26"/>
  <c r="E26"/>
  <c r="A26"/>
  <c r="E15"/>
  <c r="E16"/>
  <c r="M21"/>
  <c r="E21"/>
  <c r="E13"/>
  <c r="E10"/>
  <c r="E12"/>
  <c r="E9"/>
  <c r="E11"/>
  <c r="E8"/>
  <c r="E6"/>
  <c r="E7"/>
  <c r="E5"/>
  <c r="M57" l="1"/>
  <c r="L57"/>
  <c r="E57"/>
</calcChain>
</file>

<file path=xl/sharedStrings.xml><?xml version="1.0" encoding="utf-8"?>
<sst xmlns="http://schemas.openxmlformats.org/spreadsheetml/2006/main" count="144" uniqueCount="105">
  <si>
    <t>Overall Standings</t>
  </si>
  <si>
    <t>Ties</t>
  </si>
  <si>
    <t>Current Month</t>
  </si>
  <si>
    <t>Current Month avg score</t>
  </si>
  <si>
    <t>GH</t>
  </si>
  <si>
    <t>BH</t>
  </si>
  <si>
    <t>Flaps</t>
  </si>
  <si>
    <t>HD</t>
  </si>
  <si>
    <t>Doubs</t>
  </si>
  <si>
    <t>Crooked Tree Rounds - month</t>
  </si>
  <si>
    <t>Ugly Tree Rounds</t>
  </si>
  <si>
    <t>C. Streak</t>
  </si>
  <si>
    <t>Beers - M</t>
  </si>
  <si>
    <t>BEERS year</t>
  </si>
  <si>
    <t>gross</t>
  </si>
  <si>
    <t>net</t>
  </si>
  <si>
    <t>Gross</t>
  </si>
  <si>
    <t>Net</t>
  </si>
  <si>
    <t>Hound</t>
  </si>
  <si>
    <t>1W</t>
  </si>
  <si>
    <t>Owl</t>
  </si>
  <si>
    <t>1L</t>
  </si>
  <si>
    <t>Yorkie</t>
  </si>
  <si>
    <t>4W</t>
  </si>
  <si>
    <t>Eagle</t>
  </si>
  <si>
    <t>Eel</t>
  </si>
  <si>
    <t>Ram</t>
  </si>
  <si>
    <t>Wolf</t>
  </si>
  <si>
    <t>3L</t>
  </si>
  <si>
    <t>Harrier</t>
  </si>
  <si>
    <t>Panda</t>
  </si>
  <si>
    <t>Silver</t>
  </si>
  <si>
    <t>Mole</t>
  </si>
  <si>
    <t>2L</t>
  </si>
  <si>
    <t>Buffalo</t>
  </si>
  <si>
    <t>GP</t>
  </si>
  <si>
    <t>Gecko</t>
  </si>
  <si>
    <t>2W</t>
  </si>
  <si>
    <t>Moose</t>
  </si>
  <si>
    <t>Javelina</t>
  </si>
  <si>
    <t>Tortoise</t>
  </si>
  <si>
    <t>Possum</t>
  </si>
  <si>
    <t>Polar</t>
  </si>
  <si>
    <t>Pigeon</t>
  </si>
  <si>
    <t>Snail</t>
  </si>
  <si>
    <t>Dillo</t>
  </si>
  <si>
    <t>FS</t>
  </si>
  <si>
    <t>Fly</t>
  </si>
  <si>
    <t>Crane</t>
  </si>
  <si>
    <t>Bobcat</t>
  </si>
  <si>
    <t>Camel</t>
  </si>
  <si>
    <t>Mule</t>
  </si>
  <si>
    <t>Slug</t>
  </si>
  <si>
    <t>Record Streaks</t>
  </si>
  <si>
    <t>Grackle</t>
  </si>
  <si>
    <t>Ram/Harrier/Eag/Owl - 8Ws</t>
  </si>
  <si>
    <t>Sparrow</t>
  </si>
  <si>
    <t>Eel - 13 Ls</t>
  </si>
  <si>
    <t>plus/minus over 500</t>
  </si>
  <si>
    <t>Eag +20</t>
  </si>
  <si>
    <t>Wolf -26</t>
  </si>
  <si>
    <t>Yahk</t>
  </si>
  <si>
    <t>Phant</t>
  </si>
  <si>
    <t>Pup</t>
  </si>
  <si>
    <t>Croc</t>
  </si>
  <si>
    <t>Wombat</t>
  </si>
  <si>
    <t>Anteater</t>
  </si>
  <si>
    <t>PL</t>
  </si>
  <si>
    <t>8L</t>
  </si>
  <si>
    <t xml:space="preserve">10S </t>
  </si>
  <si>
    <t>Harry over Hound at Seatters</t>
  </si>
  <si>
    <t>10SAX</t>
  </si>
  <si>
    <t>Harry/Hound/Owl/Ram over Eel/Wolf/Mole/Jav at Seatters.   -5 to +5.</t>
  </si>
  <si>
    <t>5W</t>
  </si>
  <si>
    <t>3W</t>
  </si>
  <si>
    <t>10S</t>
  </si>
  <si>
    <t xml:space="preserve">Harry over Hound  </t>
  </si>
  <si>
    <t>Mule over Hound</t>
  </si>
  <si>
    <t>Moose over Fawn in a DUB</t>
  </si>
  <si>
    <t>7L</t>
  </si>
  <si>
    <t>Fawn</t>
  </si>
  <si>
    <t>T2</t>
  </si>
  <si>
    <t>T4</t>
  </si>
  <si>
    <t>T6</t>
  </si>
  <si>
    <t xml:space="preserve">SOM </t>
  </si>
  <si>
    <t>Hound at suddeners</t>
  </si>
  <si>
    <t>Feathers</t>
  </si>
  <si>
    <t>BATCH</t>
  </si>
  <si>
    <t>FS + Buff holes 1 and 2</t>
  </si>
  <si>
    <t>Harry/Eel over Jav/Ram at SUDDEN.  Win D + no</t>
  </si>
  <si>
    <t>Owl.Harry over FS/Buff after 12. win D + No.</t>
  </si>
  <si>
    <t>Bob/Eel over Mole/Wolf after 13.   win D +no</t>
  </si>
  <si>
    <t xml:space="preserve">BATCH </t>
  </si>
  <si>
    <t>Mole/Jav 4 in a round including 3 in a row (16,17,18) at Seatters</t>
  </si>
  <si>
    <t>Yorkie - 69</t>
  </si>
  <si>
    <t>Eel - 67</t>
  </si>
  <si>
    <t>Mole - 69</t>
  </si>
  <si>
    <t>Moose- 69</t>
  </si>
  <si>
    <t>Mule - 69</t>
  </si>
  <si>
    <t>Wolf - 93 (Sea +21)</t>
  </si>
  <si>
    <t>Mole - 93 (Sea +21)</t>
  </si>
  <si>
    <t>Jav - 93 (Sud +21)</t>
  </si>
  <si>
    <t>Buff - 93</t>
  </si>
  <si>
    <t>Mole - 88 (sea +16)</t>
  </si>
  <si>
    <t>Eel over Owl at Porters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</si>
</sst>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right"/>
    </xf>
    <xf numFmtId="0" fontId="0" fillId="2" borderId="0" xfId="0" applyFill="1"/>
    <xf numFmtId="0" fontId="0" fillId="3" borderId="0" xfId="0" applyFill="1"/>
    <xf numFmtId="4" fontId="0" fillId="2" borderId="0" xfId="0" applyNumberFormat="1" applyFill="1"/>
    <xf numFmtId="0" fontId="1" fillId="4" borderId="0" xfId="0" applyFont="1" applyFill="1" applyAlignment="1">
      <alignment horizontal="right"/>
    </xf>
    <xf numFmtId="0" fontId="1" fillId="4" borderId="0" xfId="0" applyFont="1" applyFill="1"/>
    <xf numFmtId="0" fontId="2" fillId="4" borderId="0" xfId="0" applyFont="1" applyFill="1"/>
    <xf numFmtId="0" fontId="1" fillId="5" borderId="0" xfId="0" applyFont="1" applyFill="1" applyAlignment="1">
      <alignment horizontal="right"/>
    </xf>
    <xf numFmtId="0" fontId="1" fillId="5" borderId="0" xfId="0" applyFont="1" applyFill="1"/>
    <xf numFmtId="0" fontId="2" fillId="5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2" fillId="0" borderId="0" xfId="0" applyFont="1" applyFill="1"/>
    <xf numFmtId="0" fontId="1" fillId="6" borderId="0" xfId="0" applyFont="1" applyFill="1" applyAlignment="1">
      <alignment horizontal="right"/>
    </xf>
    <xf numFmtId="0" fontId="0" fillId="6" borderId="0" xfId="0" applyFill="1"/>
    <xf numFmtId="0" fontId="3" fillId="6" borderId="0" xfId="0" applyFont="1" applyFill="1"/>
    <xf numFmtId="0" fontId="1" fillId="6" borderId="0" xfId="0" applyFont="1" applyFill="1"/>
    <xf numFmtId="0" fontId="2" fillId="6" borderId="0" xfId="0" applyFont="1" applyFill="1"/>
    <xf numFmtId="2" fontId="0" fillId="2" borderId="0" xfId="0" applyNumberFormat="1" applyFill="1"/>
    <xf numFmtId="0" fontId="1" fillId="0" borderId="0" xfId="0" applyFont="1"/>
    <xf numFmtId="0" fontId="1" fillId="6" borderId="1" xfId="0" applyFont="1" applyFill="1" applyBorder="1"/>
    <xf numFmtId="0" fontId="2" fillId="6" borderId="2" xfId="0" applyFont="1" applyFill="1" applyBorder="1"/>
    <xf numFmtId="1" fontId="1" fillId="6" borderId="3" xfId="0" applyNumberFormat="1" applyFont="1" applyFill="1" applyBorder="1"/>
    <xf numFmtId="0" fontId="1" fillId="6" borderId="2" xfId="0" applyFont="1" applyFill="1" applyBorder="1"/>
    <xf numFmtId="1" fontId="1" fillId="0" borderId="0" xfId="0" applyNumberFormat="1" applyFont="1" applyFill="1" applyBorder="1"/>
    <xf numFmtId="1" fontId="0" fillId="0" borderId="0" xfId="0" applyNumberFormat="1"/>
    <xf numFmtId="1" fontId="1" fillId="0" borderId="0" xfId="0" applyNumberFormat="1" applyFont="1" applyFill="1" applyBorder="1" applyAlignment="1">
      <alignment horizontal="left"/>
    </xf>
    <xf numFmtId="4" fontId="0" fillId="0" borderId="0" xfId="0" applyNumberFormat="1"/>
    <xf numFmtId="2" fontId="0" fillId="0" borderId="0" xfId="0" applyNumberFormat="1"/>
    <xf numFmtId="2" fontId="0" fillId="0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79"/>
  <sheetViews>
    <sheetView tabSelected="1" topLeftCell="A37" workbookViewId="0">
      <selection activeCell="I64" sqref="I64"/>
    </sheetView>
  </sheetViews>
  <sheetFormatPr defaultRowHeight="15"/>
  <cols>
    <col min="1" max="1" width="6.5703125" style="1" bestFit="1" customWidth="1"/>
    <col min="2" max="2" width="16.5703125" bestFit="1" customWidth="1"/>
    <col min="3" max="4" width="5" bestFit="1" customWidth="1"/>
    <col min="7" max="7" width="3.5703125" customWidth="1"/>
    <col min="8" max="8" width="4.28515625" bestFit="1" customWidth="1"/>
    <col min="9" max="9" width="4" bestFit="1" customWidth="1"/>
    <col min="10" max="10" width="2.7109375" customWidth="1"/>
    <col min="11" max="11" width="8.7109375" bestFit="1" customWidth="1"/>
    <col min="12" max="12" width="9.28515625" bestFit="1" customWidth="1"/>
    <col min="13" max="13" width="10.5703125" bestFit="1" customWidth="1"/>
    <col min="14" max="14" width="2.140625" customWidth="1"/>
    <col min="16" max="16" width="13.85546875" customWidth="1"/>
    <col min="23" max="23" width="27.85546875" bestFit="1" customWidth="1"/>
    <col min="24" max="24" width="28.5703125" bestFit="1" customWidth="1"/>
    <col min="25" max="25" width="2.7109375" customWidth="1"/>
    <col min="26" max="26" width="17.85546875" bestFit="1" customWidth="1"/>
    <col min="27" max="27" width="17.7109375" bestFit="1" customWidth="1"/>
  </cols>
  <sheetData>
    <row r="1" spans="1:27">
      <c r="O1" s="2"/>
      <c r="P1" s="2"/>
      <c r="Q1" s="3"/>
      <c r="R1" s="3"/>
      <c r="S1" s="3"/>
      <c r="T1" s="3"/>
      <c r="U1" s="3"/>
      <c r="V1" s="3"/>
    </row>
    <row r="2" spans="1:27">
      <c r="B2" t="s">
        <v>0</v>
      </c>
      <c r="F2" t="s">
        <v>1</v>
      </c>
      <c r="H2" t="s">
        <v>2</v>
      </c>
      <c r="O2" s="2" t="s">
        <v>3</v>
      </c>
      <c r="P2" s="2"/>
      <c r="Q2" s="3" t="s">
        <v>86</v>
      </c>
      <c r="R2" s="3" t="s">
        <v>4</v>
      </c>
      <c r="S2" s="3" t="s">
        <v>5</v>
      </c>
      <c r="T2" s="3" t="s">
        <v>6</v>
      </c>
      <c r="U2" s="3" t="s">
        <v>7</v>
      </c>
      <c r="V2" s="3" t="s">
        <v>8</v>
      </c>
      <c r="W2" t="s">
        <v>9</v>
      </c>
      <c r="Z2" t="s">
        <v>10</v>
      </c>
    </row>
    <row r="3" spans="1:27">
      <c r="K3" t="s">
        <v>11</v>
      </c>
      <c r="L3" t="s">
        <v>12</v>
      </c>
      <c r="M3" t="s">
        <v>13</v>
      </c>
      <c r="O3" s="2" t="s">
        <v>14</v>
      </c>
      <c r="P3" s="2" t="s">
        <v>15</v>
      </c>
      <c r="Q3" s="3"/>
      <c r="R3" s="3"/>
      <c r="S3" s="3"/>
      <c r="T3" s="3"/>
      <c r="U3" s="3"/>
      <c r="V3" s="3"/>
      <c r="W3" t="s">
        <v>16</v>
      </c>
      <c r="X3" t="s">
        <v>17</v>
      </c>
      <c r="Z3" t="s">
        <v>16</v>
      </c>
      <c r="AA3" t="s">
        <v>17</v>
      </c>
    </row>
    <row r="4" spans="1:27">
      <c r="O4" s="4"/>
      <c r="P4" s="4"/>
      <c r="Q4" s="3"/>
      <c r="R4" s="3"/>
      <c r="S4" s="3"/>
      <c r="T4" s="3"/>
      <c r="U4" s="3"/>
      <c r="V4" s="3"/>
    </row>
    <row r="5" spans="1:27">
      <c r="A5" s="5">
        <v>1</v>
      </c>
      <c r="B5" s="6" t="s">
        <v>18</v>
      </c>
      <c r="C5" s="6">
        <v>11</v>
      </c>
      <c r="D5" s="6">
        <v>5</v>
      </c>
      <c r="E5" s="6">
        <f t="shared" ref="E5:E11" si="0">C5-D5</f>
        <v>6</v>
      </c>
      <c r="F5" s="6"/>
      <c r="G5" s="6"/>
      <c r="H5" s="6">
        <v>3</v>
      </c>
      <c r="I5" s="6">
        <v>3</v>
      </c>
      <c r="J5" s="6"/>
      <c r="K5" s="7" t="s">
        <v>28</v>
      </c>
      <c r="L5" s="7">
        <f>0+0+0-0-3-2</f>
        <v>-5</v>
      </c>
      <c r="M5" s="7">
        <f>1+1+1+2+1+2+0-1-2+0+0+0+0-0-3-2</f>
        <v>0</v>
      </c>
      <c r="O5" s="4">
        <f>(86+89+77+78+82+82)/6</f>
        <v>82.333333333333329</v>
      </c>
      <c r="P5" s="4">
        <f>(83+85+73+74+78+79)/6</f>
        <v>78.666666666666671</v>
      </c>
      <c r="Q5" s="3">
        <f>3+1</f>
        <v>4</v>
      </c>
      <c r="R5" s="3"/>
      <c r="S5" s="3"/>
      <c r="T5" s="3"/>
      <c r="U5" s="3">
        <f>7.5+8.75-3.25-3.5+1.75+6.5</f>
        <v>17.75</v>
      </c>
      <c r="V5" s="3">
        <f>4+5+1+1+3+1</f>
        <v>15</v>
      </c>
      <c r="W5" t="s">
        <v>94</v>
      </c>
      <c r="X5" t="s">
        <v>95</v>
      </c>
      <c r="Z5" t="s">
        <v>99</v>
      </c>
      <c r="AA5" t="s">
        <v>103</v>
      </c>
    </row>
    <row r="6" spans="1:27">
      <c r="A6" s="5" t="s">
        <v>81</v>
      </c>
      <c r="B6" s="6" t="s">
        <v>22</v>
      </c>
      <c r="C6" s="6">
        <v>6</v>
      </c>
      <c r="D6" s="6">
        <v>1</v>
      </c>
      <c r="E6" s="6">
        <f>C6-D6</f>
        <v>5</v>
      </c>
      <c r="F6" s="6"/>
      <c r="G6" s="6"/>
      <c r="H6" s="6">
        <v>1</v>
      </c>
      <c r="I6" s="6">
        <v>0</v>
      </c>
      <c r="J6" s="6"/>
      <c r="K6" s="7" t="s">
        <v>73</v>
      </c>
      <c r="L6" s="7">
        <f>2</f>
        <v>2</v>
      </c>
      <c r="M6" s="7">
        <f>1-1+1+1+2+1+2</f>
        <v>7</v>
      </c>
      <c r="O6" s="4">
        <f>69</f>
        <v>69</v>
      </c>
      <c r="P6" s="4">
        <f>69</f>
        <v>69</v>
      </c>
      <c r="Q6" s="3">
        <f>4</f>
        <v>4</v>
      </c>
      <c r="R6" s="3"/>
      <c r="S6" s="3"/>
      <c r="T6" s="3"/>
      <c r="U6" s="3">
        <f>-3.5</f>
        <v>-3.5</v>
      </c>
      <c r="V6" s="3"/>
      <c r="X6" t="s">
        <v>96</v>
      </c>
      <c r="Z6" t="s">
        <v>100</v>
      </c>
    </row>
    <row r="7" spans="1:27">
      <c r="A7" s="5" t="s">
        <v>81</v>
      </c>
      <c r="B7" s="6" t="s">
        <v>20</v>
      </c>
      <c r="C7" s="6">
        <v>11</v>
      </c>
      <c r="D7" s="6">
        <v>6</v>
      </c>
      <c r="E7" s="6">
        <f t="shared" si="0"/>
        <v>5</v>
      </c>
      <c r="F7" s="6"/>
      <c r="G7" s="6"/>
      <c r="H7" s="6">
        <v>3</v>
      </c>
      <c r="I7" s="6">
        <v>3</v>
      </c>
      <c r="J7" s="6"/>
      <c r="K7" s="7" t="s">
        <v>37</v>
      </c>
      <c r="L7" s="7">
        <f>-2+0-2-1+3+3</f>
        <v>1</v>
      </c>
      <c r="M7" s="7">
        <f>-1-0+0+0+2+1+0+1+1+0-2-2+0-2-1+3+3</f>
        <v>3</v>
      </c>
      <c r="O7" s="4">
        <f>(83+79+80+87+83+76)/6</f>
        <v>81.333333333333329</v>
      </c>
      <c r="P7" s="4">
        <f>(78+74+75+82+78+71)/6</f>
        <v>76.333333333333329</v>
      </c>
      <c r="Q7" s="3">
        <f>1</f>
        <v>1</v>
      </c>
      <c r="R7" s="3"/>
      <c r="S7" s="3">
        <f>1</f>
        <v>1</v>
      </c>
      <c r="T7" s="3"/>
      <c r="U7" s="3">
        <f>-0.75-1.75-1.25+6+0.5-5.25</f>
        <v>-2.5</v>
      </c>
      <c r="V7" s="3">
        <f>2+1+2+6+3</f>
        <v>14</v>
      </c>
      <c r="X7" t="s">
        <v>94</v>
      </c>
      <c r="Z7" t="s">
        <v>101</v>
      </c>
    </row>
    <row r="8" spans="1:27">
      <c r="A8" s="8" t="s">
        <v>82</v>
      </c>
      <c r="B8" s="9" t="s">
        <v>24</v>
      </c>
      <c r="C8" s="9">
        <v>7</v>
      </c>
      <c r="D8" s="9">
        <v>4</v>
      </c>
      <c r="E8" s="9">
        <f t="shared" si="0"/>
        <v>3</v>
      </c>
      <c r="F8" s="9"/>
      <c r="G8" s="9"/>
      <c r="H8" s="9">
        <v>1</v>
      </c>
      <c r="I8" s="9">
        <v>1</v>
      </c>
      <c r="J8" s="9"/>
      <c r="K8" s="10" t="s">
        <v>19</v>
      </c>
      <c r="L8" s="10">
        <f>0+1</f>
        <v>1</v>
      </c>
      <c r="M8" s="10">
        <f>-1+1+1-1-1+1+2+0+2+0+1</f>
        <v>5</v>
      </c>
      <c r="O8" s="4">
        <f>(75+72)/2</f>
        <v>73.5</v>
      </c>
      <c r="P8" s="4">
        <f>(75+72)/2</f>
        <v>73.5</v>
      </c>
      <c r="Q8" s="3">
        <f>1+1</f>
        <v>2</v>
      </c>
      <c r="R8" s="3"/>
      <c r="S8" s="3"/>
      <c r="T8" s="3"/>
      <c r="U8" s="3">
        <f>2.5-0.5</f>
        <v>2</v>
      </c>
      <c r="V8" s="3"/>
      <c r="X8" t="s">
        <v>97</v>
      </c>
      <c r="Z8" t="s">
        <v>102</v>
      </c>
    </row>
    <row r="9" spans="1:27">
      <c r="A9" s="8" t="s">
        <v>82</v>
      </c>
      <c r="B9" s="9" t="s">
        <v>26</v>
      </c>
      <c r="C9" s="9">
        <v>9</v>
      </c>
      <c r="D9" s="9">
        <v>6</v>
      </c>
      <c r="E9" s="9">
        <f>C9-D9</f>
        <v>3</v>
      </c>
      <c r="F9" s="9"/>
      <c r="G9" s="9"/>
      <c r="H9" s="9">
        <v>4</v>
      </c>
      <c r="I9" s="9">
        <v>3</v>
      </c>
      <c r="J9" s="9"/>
      <c r="K9" s="10" t="s">
        <v>19</v>
      </c>
      <c r="L9" s="10">
        <f>1-0+0-2+3-2+0</f>
        <v>0</v>
      </c>
      <c r="M9" s="10">
        <f>-1+1+1-2+1-2+1-2+1-0+0-2+3-2+0</f>
        <v>-3</v>
      </c>
      <c r="O9" s="4">
        <f>(76+72+82+72+73+79+76)/7</f>
        <v>75.714285714285708</v>
      </c>
      <c r="P9" s="4">
        <f>(76+72+82+72+73+79+76)/7</f>
        <v>75.714285714285708</v>
      </c>
      <c r="Q9" s="3">
        <f>2+4+2+3+1+1</f>
        <v>13</v>
      </c>
      <c r="R9" s="3">
        <f>1</f>
        <v>1</v>
      </c>
      <c r="S9" s="3">
        <f>1</f>
        <v>1</v>
      </c>
      <c r="T9" s="3"/>
      <c r="U9" s="3">
        <f>2.75-3.5+3.5-4.25-3.25+1.5+1.25</f>
        <v>-2</v>
      </c>
      <c r="V9" s="3">
        <f>2+3+1+1+1</f>
        <v>8</v>
      </c>
      <c r="X9" t="s">
        <v>98</v>
      </c>
    </row>
    <row r="10" spans="1:27">
      <c r="A10" s="8" t="s">
        <v>83</v>
      </c>
      <c r="B10" s="9" t="s">
        <v>29</v>
      </c>
      <c r="C10" s="9">
        <v>11</v>
      </c>
      <c r="D10" s="9">
        <v>9</v>
      </c>
      <c r="E10" s="9">
        <f>C10-D10</f>
        <v>2</v>
      </c>
      <c r="F10" s="9"/>
      <c r="G10" s="9"/>
      <c r="H10" s="9">
        <v>6</v>
      </c>
      <c r="I10" s="9">
        <v>3</v>
      </c>
      <c r="J10" s="9"/>
      <c r="K10" s="10" t="s">
        <v>37</v>
      </c>
      <c r="L10" s="10">
        <f>1-2+2+2+2+2-1+1+3</f>
        <v>10</v>
      </c>
      <c r="M10" s="10">
        <f>3+1-0-1-1-1-1+2+2-1+2+1-2+2+2+2+2-1+1+3</f>
        <v>15</v>
      </c>
      <c r="O10" s="4">
        <f>(71+73+74+74+74+78+75+77+72)/9</f>
        <v>74.222222222222229</v>
      </c>
      <c r="P10" s="4">
        <f>(70+71+72+73+73+77+74+76+70)/9</f>
        <v>72.888888888888886</v>
      </c>
      <c r="Q10" s="3">
        <f>4+3+2+5+1+2+1+2</f>
        <v>20</v>
      </c>
      <c r="R10" s="3">
        <f>1</f>
        <v>1</v>
      </c>
      <c r="S10" s="3"/>
      <c r="T10" s="3"/>
      <c r="U10" s="3">
        <f>-3.25-4.75-3.5-5.5-3.25+1-4.75-0.25-2.5</f>
        <v>-26.75</v>
      </c>
      <c r="V10" s="3">
        <f>1+2+1+2+1+1</f>
        <v>8</v>
      </c>
    </row>
    <row r="11" spans="1:27">
      <c r="A11" s="8" t="s">
        <v>83</v>
      </c>
      <c r="B11" s="9" t="s">
        <v>25</v>
      </c>
      <c r="C11" s="9">
        <v>11</v>
      </c>
      <c r="D11" s="9">
        <v>9</v>
      </c>
      <c r="E11" s="9">
        <f t="shared" si="0"/>
        <v>2</v>
      </c>
      <c r="F11" s="9"/>
      <c r="G11" s="9"/>
      <c r="H11" s="9">
        <v>3</v>
      </c>
      <c r="I11" s="9">
        <v>3</v>
      </c>
      <c r="J11" s="9"/>
      <c r="K11" s="10" t="s">
        <v>37</v>
      </c>
      <c r="L11" s="10">
        <f>3-2-0+1-1+2</f>
        <v>3</v>
      </c>
      <c r="M11" s="10">
        <f>1-1+1-1-1+1-2+1+0-0-1+0+2+0+3-2-0+1-1+2</f>
        <v>3</v>
      </c>
      <c r="O11" s="4">
        <f>(71+79+80+74+82+83)/6</f>
        <v>78.166666666666671</v>
      </c>
      <c r="P11" s="4">
        <f>(67+76+77+71+79+80)/6</f>
        <v>75</v>
      </c>
      <c r="Q11" s="3">
        <f>4+1</f>
        <v>5</v>
      </c>
      <c r="R11" s="3">
        <f>1</f>
        <v>1</v>
      </c>
      <c r="S11" s="3">
        <f>1+1</f>
        <v>2</v>
      </c>
      <c r="T11" s="3"/>
      <c r="U11" s="3">
        <f>-7.25-2.5-5-5+0.25+3.75</f>
        <v>-15.75</v>
      </c>
      <c r="V11" s="3">
        <f>1+4+3+3+3</f>
        <v>14</v>
      </c>
    </row>
    <row r="12" spans="1:27">
      <c r="A12" s="8" t="s">
        <v>83</v>
      </c>
      <c r="B12" s="9" t="s">
        <v>27</v>
      </c>
      <c r="C12" s="9">
        <v>12</v>
      </c>
      <c r="D12" s="9">
        <v>10</v>
      </c>
      <c r="E12" s="9">
        <f>C12-D12</f>
        <v>2</v>
      </c>
      <c r="F12" s="9"/>
      <c r="G12" s="9"/>
      <c r="H12" s="9">
        <v>4</v>
      </c>
      <c r="I12" s="9">
        <v>2</v>
      </c>
      <c r="J12" s="9"/>
      <c r="K12" s="10" t="s">
        <v>21</v>
      </c>
      <c r="L12" s="10">
        <f>-1+2+2+0-1-2</f>
        <v>0</v>
      </c>
      <c r="M12" s="10">
        <f>3+0+1+1-1+1-1-1-1+1+0+1+0-2-1-1-1+2+2+0-1-2</f>
        <v>0</v>
      </c>
      <c r="O12" s="4">
        <f>(88+83+91+84+87+79)/6</f>
        <v>85.333333333333329</v>
      </c>
      <c r="P12" s="4">
        <f>(81+75+84+77+80+72)/6</f>
        <v>78.166666666666671</v>
      </c>
      <c r="Q12" s="3">
        <f>1+1</f>
        <v>2</v>
      </c>
      <c r="R12" s="3"/>
      <c r="S12" s="3">
        <f>3+1</f>
        <v>4</v>
      </c>
      <c r="T12" s="3"/>
      <c r="U12" s="3">
        <f>6.75-0.75+2+0.75+1.25-2.75</f>
        <v>7.25</v>
      </c>
      <c r="V12" s="3">
        <f>7+3+8+2+4+1</f>
        <v>25</v>
      </c>
    </row>
    <row r="13" spans="1:27">
      <c r="A13" s="11">
        <v>9</v>
      </c>
      <c r="B13" s="12" t="s">
        <v>30</v>
      </c>
      <c r="C13" s="12">
        <v>3</v>
      </c>
      <c r="D13" s="12">
        <v>5</v>
      </c>
      <c r="E13" s="12">
        <f>C13-D13</f>
        <v>-2</v>
      </c>
      <c r="F13" s="12"/>
      <c r="G13" s="12"/>
      <c r="H13" s="12">
        <v>1</v>
      </c>
      <c r="I13" s="12">
        <v>1</v>
      </c>
      <c r="J13" s="12"/>
      <c r="K13" s="13" t="s">
        <v>21</v>
      </c>
      <c r="L13" s="13">
        <f>0-2</f>
        <v>-2</v>
      </c>
      <c r="M13" s="13">
        <f>-3+0+1-0-2-0-0-2</f>
        <v>-6</v>
      </c>
      <c r="O13" s="4">
        <f>(79+82)/2</f>
        <v>80.5</v>
      </c>
      <c r="P13" s="4">
        <f>(75+78)/2</f>
        <v>76.5</v>
      </c>
      <c r="Q13" s="3"/>
      <c r="R13" s="3"/>
      <c r="S13" s="3">
        <f>2</f>
        <v>2</v>
      </c>
      <c r="T13" s="3"/>
      <c r="U13" s="3">
        <f>-3.75+2.25</f>
        <v>-1.5</v>
      </c>
      <c r="V13" s="3">
        <f>3+1</f>
        <v>4</v>
      </c>
    </row>
    <row r="14" spans="1:27">
      <c r="A14" s="11">
        <v>10</v>
      </c>
      <c r="B14" s="12" t="s">
        <v>39</v>
      </c>
      <c r="C14" s="12">
        <v>1</v>
      </c>
      <c r="D14" s="12">
        <v>7</v>
      </c>
      <c r="E14" s="12">
        <f>C14-D14</f>
        <v>-6</v>
      </c>
      <c r="F14" s="12"/>
      <c r="G14" s="12"/>
      <c r="H14" s="12">
        <v>1</v>
      </c>
      <c r="I14" s="12">
        <v>3</v>
      </c>
      <c r="J14" s="12"/>
      <c r="K14" s="13" t="s">
        <v>28</v>
      </c>
      <c r="L14" s="13">
        <f>0-1-3-2</f>
        <v>-6</v>
      </c>
      <c r="M14" s="13">
        <f>2-1-1-0+0-1-3-2</f>
        <v>-6</v>
      </c>
      <c r="O14" s="4">
        <f>(87+85+91+89)/4</f>
        <v>88</v>
      </c>
      <c r="P14" s="4">
        <f>(79+78+83+81)/4</f>
        <v>80.25</v>
      </c>
      <c r="Q14" s="3">
        <f>1+1</f>
        <v>2</v>
      </c>
      <c r="R14" s="3"/>
      <c r="S14" s="3">
        <f>2+1+4</f>
        <v>7</v>
      </c>
      <c r="T14" s="3"/>
      <c r="U14" s="3">
        <f>0.25+4.75+4.5-1</f>
        <v>8.5</v>
      </c>
      <c r="V14" s="3">
        <f>6+4+10+6</f>
        <v>26</v>
      </c>
    </row>
    <row r="15" spans="1:27">
      <c r="A15" s="11">
        <v>11</v>
      </c>
      <c r="B15" s="12" t="s">
        <v>34</v>
      </c>
      <c r="C15" s="12">
        <v>1</v>
      </c>
      <c r="D15" s="12">
        <v>9</v>
      </c>
      <c r="E15" s="12">
        <f>C15-D15</f>
        <v>-8</v>
      </c>
      <c r="F15" s="12"/>
      <c r="G15" s="12"/>
      <c r="H15" s="12">
        <v>0</v>
      </c>
      <c r="I15" s="12">
        <v>2</v>
      </c>
      <c r="J15" s="12"/>
      <c r="K15" s="13" t="s">
        <v>79</v>
      </c>
      <c r="L15" s="13">
        <f>-1-1</f>
        <v>-2</v>
      </c>
      <c r="M15" s="13">
        <f>0-1+1-2-0-1-1-2-1-1</f>
        <v>-8</v>
      </c>
      <c r="O15" s="4">
        <f>(89+91)/2</f>
        <v>90</v>
      </c>
      <c r="P15" s="4">
        <f>(79+81)/2</f>
        <v>80</v>
      </c>
      <c r="Q15" s="3"/>
      <c r="R15" s="3"/>
      <c r="S15" s="3">
        <f>2+3</f>
        <v>5</v>
      </c>
      <c r="T15" s="3"/>
      <c r="U15" s="3">
        <f>1.5+5.25</f>
        <v>6.75</v>
      </c>
      <c r="V15" s="3">
        <f>6+7</f>
        <v>13</v>
      </c>
    </row>
    <row r="16" spans="1:27">
      <c r="A16" s="11">
        <v>12</v>
      </c>
      <c r="B16" s="12" t="s">
        <v>32</v>
      </c>
      <c r="C16" s="12">
        <v>4</v>
      </c>
      <c r="D16" s="12">
        <v>15</v>
      </c>
      <c r="E16" s="12">
        <f t="shared" ref="E16" si="1">C16-D16</f>
        <v>-11</v>
      </c>
      <c r="F16" s="12"/>
      <c r="G16" s="12"/>
      <c r="H16" s="12">
        <v>0</v>
      </c>
      <c r="I16" s="12">
        <v>6</v>
      </c>
      <c r="J16" s="12"/>
      <c r="K16" s="13" t="s">
        <v>68</v>
      </c>
      <c r="L16" s="13">
        <f>-1-1-0-0-2-3</f>
        <v>-7</v>
      </c>
      <c r="M16" s="13">
        <f>-1+1-1+0-0-1-1+1+1-0+1-2-2-1-1-0-0-2-3</f>
        <v>-11</v>
      </c>
      <c r="O16" s="4">
        <f>(83+74+91+87+87+81)/6</f>
        <v>83.833333333333329</v>
      </c>
      <c r="P16" s="4">
        <f>(78+69+86+82+82+76)/6</f>
        <v>78.833333333333329</v>
      </c>
      <c r="Q16" s="3">
        <f>2+2+1+2</f>
        <v>7</v>
      </c>
      <c r="R16" s="3"/>
      <c r="S16" s="3">
        <f>3+4+1</f>
        <v>8</v>
      </c>
      <c r="T16" s="3"/>
      <c r="U16" s="3">
        <f>3.75-4.25+4+5.75+3.25+1.25</f>
        <v>13.75</v>
      </c>
      <c r="V16" s="3">
        <f>4+1+7+5+7+3</f>
        <v>27</v>
      </c>
    </row>
    <row r="17" spans="1:22">
      <c r="O17" s="4"/>
      <c r="P17" s="4"/>
      <c r="Q17" s="3"/>
      <c r="R17" s="3"/>
      <c r="S17" s="3"/>
      <c r="T17" s="3"/>
      <c r="U17" s="3"/>
      <c r="V17" s="3"/>
    </row>
    <row r="18" spans="1:22">
      <c r="O18" s="4"/>
      <c r="P18" s="4"/>
      <c r="Q18" s="3"/>
      <c r="R18" s="3"/>
      <c r="S18" s="3"/>
      <c r="T18" s="3"/>
      <c r="U18" s="3"/>
      <c r="V18" s="3"/>
    </row>
    <row r="19" spans="1:22">
      <c r="O19" s="4"/>
      <c r="P19" s="4"/>
      <c r="Q19" s="3"/>
      <c r="R19" s="3"/>
      <c r="S19" s="3"/>
      <c r="T19" s="3"/>
      <c r="U19" s="3"/>
      <c r="V19" s="3"/>
    </row>
    <row r="20" spans="1:22">
      <c r="A20" s="14" t="s">
        <v>35</v>
      </c>
      <c r="B20" s="15"/>
      <c r="C20" s="15"/>
      <c r="D20" s="15"/>
      <c r="E20" s="15"/>
      <c r="F20" s="15"/>
      <c r="G20" s="15"/>
      <c r="H20" s="15"/>
      <c r="I20" s="15"/>
      <c r="J20" s="15"/>
      <c r="K20" s="16"/>
      <c r="L20" s="16"/>
      <c r="M20" s="16"/>
      <c r="O20" s="4"/>
      <c r="P20" s="4"/>
      <c r="Q20" s="3"/>
      <c r="R20" s="3"/>
      <c r="S20" s="3"/>
      <c r="T20" s="3"/>
      <c r="U20" s="3"/>
      <c r="V20" s="3"/>
    </row>
    <row r="21" spans="1:22">
      <c r="A21" s="14">
        <f t="shared" ref="A21:A28" si="2">C21+D21+F21</f>
        <v>6</v>
      </c>
      <c r="B21" s="17" t="s">
        <v>31</v>
      </c>
      <c r="C21" s="17">
        <v>2</v>
      </c>
      <c r="D21" s="17">
        <v>4</v>
      </c>
      <c r="E21" s="17">
        <f t="shared" ref="E21:E28" si="3">C21-D21</f>
        <v>-2</v>
      </c>
      <c r="F21" s="17"/>
      <c r="G21" s="17"/>
      <c r="H21" s="17"/>
      <c r="I21" s="17"/>
      <c r="J21" s="17"/>
      <c r="K21" s="18" t="s">
        <v>19</v>
      </c>
      <c r="L21" s="18"/>
      <c r="M21" s="18">
        <f>-3-1+1-1-3+2</f>
        <v>-5</v>
      </c>
      <c r="O21" s="4"/>
      <c r="P21" s="4"/>
      <c r="Q21" s="3"/>
      <c r="R21" s="3"/>
      <c r="S21" s="3"/>
      <c r="T21" s="3"/>
      <c r="U21" s="3"/>
      <c r="V21" s="3"/>
    </row>
    <row r="22" spans="1:22">
      <c r="A22" s="14">
        <f t="shared" si="2"/>
        <v>5</v>
      </c>
      <c r="B22" s="17" t="s">
        <v>40</v>
      </c>
      <c r="C22" s="17">
        <v>3</v>
      </c>
      <c r="D22" s="17">
        <v>2</v>
      </c>
      <c r="E22" s="17">
        <f t="shared" si="3"/>
        <v>1</v>
      </c>
      <c r="F22" s="17"/>
      <c r="G22" s="17"/>
      <c r="H22" s="17">
        <v>2</v>
      </c>
      <c r="I22" s="17">
        <v>0</v>
      </c>
      <c r="J22" s="17"/>
      <c r="K22" s="18" t="s">
        <v>74</v>
      </c>
      <c r="L22" s="18">
        <f>1+2</f>
        <v>3</v>
      </c>
      <c r="M22" s="18">
        <f>0-0+1+1+2</f>
        <v>4</v>
      </c>
      <c r="O22" s="4">
        <f>(84+90)/2</f>
        <v>87</v>
      </c>
      <c r="P22" s="4">
        <f>(71+77)/2</f>
        <v>74</v>
      </c>
      <c r="Q22" s="3"/>
      <c r="R22" s="3"/>
      <c r="S22" s="3">
        <f>1</f>
        <v>1</v>
      </c>
      <c r="T22" s="3"/>
      <c r="U22" s="3">
        <f>-1.5-0.5</f>
        <v>-2</v>
      </c>
      <c r="V22" s="3">
        <f>1+7</f>
        <v>8</v>
      </c>
    </row>
    <row r="23" spans="1:22">
      <c r="A23" s="14">
        <f t="shared" si="2"/>
        <v>5</v>
      </c>
      <c r="B23" s="17" t="s">
        <v>38</v>
      </c>
      <c r="C23" s="17">
        <v>3</v>
      </c>
      <c r="D23" s="17">
        <v>2</v>
      </c>
      <c r="E23" s="17">
        <f t="shared" si="3"/>
        <v>1</v>
      </c>
      <c r="F23" s="17"/>
      <c r="G23" s="17"/>
      <c r="H23" s="17">
        <v>1</v>
      </c>
      <c r="I23" s="17">
        <v>0</v>
      </c>
      <c r="J23" s="17"/>
      <c r="K23" s="18" t="s">
        <v>74</v>
      </c>
      <c r="L23" s="18">
        <f>1</f>
        <v>1</v>
      </c>
      <c r="M23" s="17">
        <f>0-1+1+2+1</f>
        <v>3</v>
      </c>
      <c r="O23" s="4">
        <f>76</f>
        <v>76</v>
      </c>
      <c r="P23" s="4">
        <f>69</f>
        <v>69</v>
      </c>
      <c r="Q23" s="3">
        <f>2</f>
        <v>2</v>
      </c>
      <c r="R23" s="3"/>
      <c r="S23" s="3"/>
      <c r="T23" s="3"/>
      <c r="U23" s="3">
        <f>-6.75</f>
        <v>-6.75</v>
      </c>
      <c r="V23" s="3"/>
    </row>
    <row r="24" spans="1:22">
      <c r="A24" s="14">
        <f t="shared" si="2"/>
        <v>5</v>
      </c>
      <c r="B24" s="17" t="s">
        <v>46</v>
      </c>
      <c r="C24" s="17">
        <v>3</v>
      </c>
      <c r="D24" s="17">
        <v>2</v>
      </c>
      <c r="E24" s="17">
        <f t="shared" si="3"/>
        <v>1</v>
      </c>
      <c r="F24" s="17"/>
      <c r="G24" s="17"/>
      <c r="H24" s="17">
        <v>2</v>
      </c>
      <c r="I24" s="17">
        <v>1</v>
      </c>
      <c r="J24" s="17"/>
      <c r="K24" s="17" t="s">
        <v>21</v>
      </c>
      <c r="L24" s="17">
        <f>1+0-1</f>
        <v>0</v>
      </c>
      <c r="M24" s="17">
        <f>1-1+1+0-1</f>
        <v>0</v>
      </c>
      <c r="O24" s="4">
        <f>(86+87+85)/3</f>
        <v>86</v>
      </c>
      <c r="P24" s="4">
        <f>(76+77+75)/3</f>
        <v>76</v>
      </c>
      <c r="Q24" s="3"/>
      <c r="R24" s="3"/>
      <c r="S24" s="3">
        <f>1+3</f>
        <v>4</v>
      </c>
      <c r="T24" s="3"/>
      <c r="U24" s="3">
        <f>-1.5+1.25-0.5</f>
        <v>-0.75</v>
      </c>
      <c r="V24" s="3">
        <f>4+5+3</f>
        <v>12</v>
      </c>
    </row>
    <row r="25" spans="1:22">
      <c r="A25" s="14">
        <f t="shared" si="2"/>
        <v>5</v>
      </c>
      <c r="B25" s="17" t="s">
        <v>48</v>
      </c>
      <c r="C25" s="17">
        <v>2</v>
      </c>
      <c r="D25" s="17">
        <v>3</v>
      </c>
      <c r="E25" s="17">
        <f t="shared" si="3"/>
        <v>-1</v>
      </c>
      <c r="F25" s="17"/>
      <c r="G25" s="17"/>
      <c r="H25" s="17">
        <v>2</v>
      </c>
      <c r="I25" s="17">
        <v>1</v>
      </c>
      <c r="J25" s="17"/>
      <c r="K25" s="18" t="s">
        <v>19</v>
      </c>
      <c r="L25" s="17">
        <f>2-2+2</f>
        <v>2</v>
      </c>
      <c r="M25" s="17">
        <f>-1-1+2-2+2</f>
        <v>0</v>
      </c>
      <c r="O25" s="19">
        <f>(77+82+78)/3</f>
        <v>79</v>
      </c>
      <c r="P25" s="19">
        <f>(74+79+75)/3</f>
        <v>76</v>
      </c>
      <c r="Q25" s="3">
        <f>2+1</f>
        <v>3</v>
      </c>
      <c r="R25" s="3"/>
      <c r="S25" s="3"/>
      <c r="T25" s="3"/>
      <c r="U25" s="3">
        <f>-2+1.5+0.25</f>
        <v>-0.25</v>
      </c>
      <c r="V25" s="3">
        <f>2+1+1</f>
        <v>4</v>
      </c>
    </row>
    <row r="26" spans="1:22">
      <c r="A26" s="14">
        <f t="shared" si="2"/>
        <v>4</v>
      </c>
      <c r="B26" s="17" t="s">
        <v>36</v>
      </c>
      <c r="C26" s="17">
        <v>3</v>
      </c>
      <c r="D26" s="17">
        <v>1</v>
      </c>
      <c r="E26" s="17">
        <f t="shared" si="3"/>
        <v>2</v>
      </c>
      <c r="F26" s="17"/>
      <c r="G26" s="17"/>
      <c r="H26" s="17"/>
      <c r="I26" s="17"/>
      <c r="J26" s="17"/>
      <c r="K26" s="18" t="s">
        <v>37</v>
      </c>
      <c r="L26" s="18"/>
      <c r="M26" s="18">
        <f>-1-1+2+1</f>
        <v>1</v>
      </c>
      <c r="O26" s="19"/>
      <c r="P26" s="19"/>
      <c r="Q26" s="3"/>
      <c r="R26" s="3"/>
      <c r="S26" s="3"/>
      <c r="T26" s="3"/>
      <c r="U26" s="3"/>
      <c r="V26" s="3"/>
    </row>
    <row r="27" spans="1:22">
      <c r="A27" s="14">
        <f t="shared" si="2"/>
        <v>4</v>
      </c>
      <c r="B27" s="17" t="s">
        <v>43</v>
      </c>
      <c r="C27" s="17">
        <v>2</v>
      </c>
      <c r="D27" s="17">
        <v>2</v>
      </c>
      <c r="E27" s="17">
        <f t="shared" si="3"/>
        <v>0</v>
      </c>
      <c r="F27" s="17"/>
      <c r="G27" s="17"/>
      <c r="H27" s="17">
        <v>0</v>
      </c>
      <c r="I27" s="17">
        <v>2</v>
      </c>
      <c r="J27" s="17"/>
      <c r="K27" s="17" t="s">
        <v>33</v>
      </c>
      <c r="L27" s="17">
        <f>-2-1</f>
        <v>-3</v>
      </c>
      <c r="M27" s="17">
        <f>1+1-2-1</f>
        <v>-1</v>
      </c>
      <c r="O27" s="19">
        <f>(92+87)/2</f>
        <v>89.5</v>
      </c>
      <c r="P27" s="19">
        <f>(83+78)/2</f>
        <v>80.5</v>
      </c>
      <c r="Q27" s="3"/>
      <c r="R27" s="3"/>
      <c r="S27" s="3">
        <f>1+2</f>
        <v>3</v>
      </c>
      <c r="T27" s="3"/>
      <c r="U27" s="3">
        <f>4.25+0.5</f>
        <v>4.75</v>
      </c>
      <c r="V27" s="3">
        <f>7+5</f>
        <v>12</v>
      </c>
    </row>
    <row r="28" spans="1:22">
      <c r="A28" s="14">
        <f t="shared" si="2"/>
        <v>3</v>
      </c>
      <c r="B28" s="17" t="s">
        <v>51</v>
      </c>
      <c r="C28" s="17">
        <v>0</v>
      </c>
      <c r="D28" s="17">
        <v>3</v>
      </c>
      <c r="E28" s="17">
        <f t="shared" si="3"/>
        <v>-3</v>
      </c>
      <c r="F28" s="15"/>
      <c r="G28" s="17"/>
      <c r="H28" s="17">
        <v>0</v>
      </c>
      <c r="I28" s="17">
        <v>2</v>
      </c>
      <c r="J28" s="17"/>
      <c r="K28" s="18" t="s">
        <v>28</v>
      </c>
      <c r="L28" s="17">
        <f>0-0</f>
        <v>0</v>
      </c>
      <c r="M28" s="17">
        <f>-1-0-0</f>
        <v>-1</v>
      </c>
      <c r="O28" s="19">
        <f>(81+75)/2</f>
        <v>78</v>
      </c>
      <c r="P28" s="19">
        <f>(75+69)/2</f>
        <v>72</v>
      </c>
      <c r="Q28" s="3">
        <f>2</f>
        <v>2</v>
      </c>
      <c r="R28" s="3"/>
      <c r="S28" s="3"/>
      <c r="T28" s="3"/>
      <c r="U28" s="3">
        <f>2.5-3.5</f>
        <v>-1</v>
      </c>
      <c r="V28" s="3">
        <f>1</f>
        <v>1</v>
      </c>
    </row>
    <row r="29" spans="1:22">
      <c r="A29" s="14">
        <f t="shared" ref="A29:A31" si="4">C29+D29+F29</f>
        <v>3</v>
      </c>
      <c r="B29" s="17" t="s">
        <v>41</v>
      </c>
      <c r="C29" s="17">
        <v>0</v>
      </c>
      <c r="D29" s="17">
        <v>3</v>
      </c>
      <c r="E29" s="17">
        <f t="shared" ref="E29:E31" si="5">C29-D29</f>
        <v>-3</v>
      </c>
      <c r="F29" s="17"/>
      <c r="G29" s="17"/>
      <c r="H29" s="17"/>
      <c r="I29" s="17"/>
      <c r="J29" s="17"/>
      <c r="K29" s="18" t="s">
        <v>28</v>
      </c>
      <c r="L29" s="18"/>
      <c r="M29" s="18">
        <f>-1-1-0</f>
        <v>-2</v>
      </c>
      <c r="O29" s="19"/>
      <c r="P29" s="19"/>
      <c r="Q29" s="3"/>
      <c r="R29" s="3"/>
      <c r="S29" s="3"/>
      <c r="T29" s="3"/>
      <c r="U29" s="3"/>
      <c r="V29" s="3"/>
    </row>
    <row r="30" spans="1:22">
      <c r="A30" s="14">
        <f t="shared" si="4"/>
        <v>2</v>
      </c>
      <c r="B30" s="17" t="s">
        <v>49</v>
      </c>
      <c r="C30" s="17">
        <v>2</v>
      </c>
      <c r="D30" s="17">
        <v>0</v>
      </c>
      <c r="E30" s="17">
        <f t="shared" si="5"/>
        <v>2</v>
      </c>
      <c r="F30" s="17"/>
      <c r="G30" s="17"/>
      <c r="H30" s="17">
        <v>1</v>
      </c>
      <c r="I30" s="17">
        <v>0</v>
      </c>
      <c r="J30" s="17"/>
      <c r="K30" s="18" t="s">
        <v>23</v>
      </c>
      <c r="L30" s="18">
        <f>3</f>
        <v>3</v>
      </c>
      <c r="M30" s="18">
        <f>1+3</f>
        <v>4</v>
      </c>
      <c r="O30" s="19">
        <f>71</f>
        <v>71</v>
      </c>
      <c r="P30" s="19">
        <f>71</f>
        <v>71</v>
      </c>
      <c r="Q30" s="3">
        <f>3</f>
        <v>3</v>
      </c>
      <c r="R30" s="3">
        <f>1</f>
        <v>1</v>
      </c>
      <c r="S30" s="3"/>
      <c r="T30" s="3"/>
      <c r="U30" s="3">
        <f>-3.25</f>
        <v>-3.25</v>
      </c>
      <c r="V30" s="3"/>
    </row>
    <row r="31" spans="1:22">
      <c r="A31" s="14">
        <f t="shared" si="4"/>
        <v>2</v>
      </c>
      <c r="B31" s="17" t="s">
        <v>42</v>
      </c>
      <c r="C31" s="17">
        <v>2</v>
      </c>
      <c r="D31" s="17">
        <v>0</v>
      </c>
      <c r="E31" s="17">
        <f t="shared" si="5"/>
        <v>2</v>
      </c>
      <c r="F31" s="15"/>
      <c r="G31" s="15"/>
      <c r="H31" s="17"/>
      <c r="I31" s="17"/>
      <c r="J31" s="15"/>
      <c r="K31" s="18" t="s">
        <v>37</v>
      </c>
      <c r="L31" s="18"/>
      <c r="M31" s="18">
        <f>1+1</f>
        <v>2</v>
      </c>
      <c r="O31" s="19"/>
      <c r="P31" s="19"/>
      <c r="Q31" s="3"/>
      <c r="R31" s="3"/>
      <c r="S31" s="3"/>
      <c r="T31" s="3"/>
      <c r="U31" s="3"/>
      <c r="V31" s="3"/>
    </row>
    <row r="32" spans="1:22">
      <c r="A32" s="14">
        <f t="shared" ref="A32:A36" si="6">C32+D32+F32</f>
        <v>2</v>
      </c>
      <c r="B32" s="17" t="s">
        <v>44</v>
      </c>
      <c r="C32" s="17">
        <v>1</v>
      </c>
      <c r="D32" s="17">
        <v>1</v>
      </c>
      <c r="E32" s="17">
        <f t="shared" ref="E32:E36" si="7">C32-D32</f>
        <v>0</v>
      </c>
      <c r="F32" s="15"/>
      <c r="G32" s="15"/>
      <c r="H32" s="17"/>
      <c r="I32" s="17"/>
      <c r="J32" s="15"/>
      <c r="K32" s="18" t="s">
        <v>19</v>
      </c>
      <c r="L32" s="18"/>
      <c r="M32" s="18">
        <f>-1+1</f>
        <v>0</v>
      </c>
      <c r="O32" s="19"/>
      <c r="P32" s="19"/>
      <c r="Q32" s="3"/>
      <c r="R32" s="3"/>
      <c r="S32" s="3"/>
      <c r="T32" s="3"/>
      <c r="U32" s="3"/>
      <c r="V32" s="3"/>
    </row>
    <row r="33" spans="1:23">
      <c r="A33" s="14">
        <f t="shared" si="6"/>
        <v>2</v>
      </c>
      <c r="B33" s="17" t="s">
        <v>45</v>
      </c>
      <c r="C33" s="17">
        <v>1</v>
      </c>
      <c r="D33" s="17">
        <v>1</v>
      </c>
      <c r="E33" s="17">
        <f t="shared" si="7"/>
        <v>0</v>
      </c>
      <c r="F33" s="17"/>
      <c r="G33" s="17"/>
      <c r="H33" s="17"/>
      <c r="I33" s="17"/>
      <c r="J33" s="17"/>
      <c r="K33" s="18" t="s">
        <v>21</v>
      </c>
      <c r="L33" s="18"/>
      <c r="M33" s="18">
        <f>1-1</f>
        <v>0</v>
      </c>
      <c r="O33" s="19"/>
      <c r="P33" s="19"/>
      <c r="Q33" s="3"/>
      <c r="R33" s="3"/>
      <c r="S33" s="3"/>
      <c r="T33" s="3"/>
      <c r="U33" s="3"/>
      <c r="V33" s="3"/>
    </row>
    <row r="34" spans="1:23">
      <c r="A34" s="14">
        <f t="shared" si="6"/>
        <v>2</v>
      </c>
      <c r="B34" s="17" t="s">
        <v>47</v>
      </c>
      <c r="C34" s="17">
        <v>1</v>
      </c>
      <c r="D34" s="17">
        <v>1</v>
      </c>
      <c r="E34" s="17">
        <f t="shared" si="7"/>
        <v>0</v>
      </c>
      <c r="F34" s="17"/>
      <c r="G34" s="17"/>
      <c r="H34" s="17"/>
      <c r="I34" s="17"/>
      <c r="J34" s="17"/>
      <c r="K34" s="17" t="s">
        <v>21</v>
      </c>
      <c r="L34" s="17"/>
      <c r="M34" s="17">
        <f>1-2</f>
        <v>-1</v>
      </c>
      <c r="N34" s="20"/>
      <c r="O34" s="19"/>
      <c r="P34" s="19"/>
      <c r="Q34" s="3"/>
      <c r="R34" s="3"/>
      <c r="S34" s="3"/>
      <c r="T34" s="3"/>
      <c r="U34" s="3"/>
      <c r="V34" s="3"/>
    </row>
    <row r="35" spans="1:23">
      <c r="A35" s="14">
        <f t="shared" si="6"/>
        <v>1</v>
      </c>
      <c r="B35" s="17" t="s">
        <v>50</v>
      </c>
      <c r="C35" s="17">
        <v>1</v>
      </c>
      <c r="D35" s="17">
        <v>0</v>
      </c>
      <c r="E35" s="17">
        <f t="shared" si="7"/>
        <v>1</v>
      </c>
      <c r="F35" s="15"/>
      <c r="G35" s="15"/>
      <c r="H35" s="17"/>
      <c r="I35" s="17"/>
      <c r="J35" s="15"/>
      <c r="K35" s="18" t="s">
        <v>19</v>
      </c>
      <c r="L35" s="15"/>
      <c r="M35" s="17">
        <f>1</f>
        <v>1</v>
      </c>
      <c r="N35" s="20"/>
      <c r="O35" s="19"/>
      <c r="P35" s="19"/>
      <c r="Q35" s="3"/>
      <c r="R35" s="3"/>
      <c r="S35" s="3"/>
      <c r="T35" s="3"/>
      <c r="U35" s="3"/>
      <c r="V35" s="3"/>
    </row>
    <row r="36" spans="1:23">
      <c r="A36" s="14">
        <f t="shared" si="6"/>
        <v>1</v>
      </c>
      <c r="B36" s="17" t="s">
        <v>80</v>
      </c>
      <c r="C36" s="17">
        <v>1</v>
      </c>
      <c r="D36" s="17">
        <v>0</v>
      </c>
      <c r="E36" s="17">
        <f t="shared" si="7"/>
        <v>1</v>
      </c>
      <c r="F36" s="15"/>
      <c r="G36" s="15"/>
      <c r="H36" s="17">
        <v>1</v>
      </c>
      <c r="I36" s="17">
        <v>0</v>
      </c>
      <c r="J36" s="15"/>
      <c r="K36" s="18" t="s">
        <v>19</v>
      </c>
      <c r="L36" s="17">
        <f>-1</f>
        <v>-1</v>
      </c>
      <c r="M36" s="17">
        <f>-1</f>
        <v>-1</v>
      </c>
      <c r="N36" s="20"/>
      <c r="O36" s="19">
        <f>80</f>
        <v>80</v>
      </c>
      <c r="P36" s="19">
        <f>81</f>
        <v>81</v>
      </c>
      <c r="Q36" s="3"/>
      <c r="R36" s="3"/>
      <c r="S36" s="3"/>
      <c r="T36" s="3"/>
      <c r="U36" s="3">
        <f>5.25</f>
        <v>5.25</v>
      </c>
      <c r="V36" s="3">
        <f>2</f>
        <v>2</v>
      </c>
    </row>
    <row r="37" spans="1:23" ht="15.75" thickBot="1">
      <c r="A37" s="14">
        <f>C37+D37+F37</f>
        <v>1</v>
      </c>
      <c r="B37" s="17" t="s">
        <v>52</v>
      </c>
      <c r="C37" s="17">
        <v>0</v>
      </c>
      <c r="D37" s="17">
        <v>1</v>
      </c>
      <c r="E37" s="17">
        <f>C37-D37</f>
        <v>-1</v>
      </c>
      <c r="F37" s="17"/>
      <c r="G37" s="17"/>
      <c r="H37" s="17"/>
      <c r="I37" s="17"/>
      <c r="J37" s="17"/>
      <c r="K37" s="18" t="s">
        <v>21</v>
      </c>
      <c r="L37" s="18"/>
      <c r="M37" s="18">
        <f>-1</f>
        <v>-1</v>
      </c>
      <c r="O37" s="19"/>
      <c r="P37" s="19"/>
      <c r="Q37" s="3"/>
      <c r="R37" s="3"/>
      <c r="S37" s="3"/>
      <c r="T37" s="3"/>
      <c r="U37" s="3"/>
      <c r="V37" s="3"/>
    </row>
    <row r="38" spans="1:23">
      <c r="A38" s="14">
        <f>C38+D38+F38</f>
        <v>1</v>
      </c>
      <c r="B38" s="17" t="s">
        <v>54</v>
      </c>
      <c r="C38" s="17">
        <v>0</v>
      </c>
      <c r="D38" s="17">
        <v>1</v>
      </c>
      <c r="E38" s="17">
        <f>C38-D38</f>
        <v>-1</v>
      </c>
      <c r="F38" s="15"/>
      <c r="G38" s="15"/>
      <c r="H38" s="17"/>
      <c r="I38" s="17"/>
      <c r="J38" s="15"/>
      <c r="K38" s="18" t="s">
        <v>21</v>
      </c>
      <c r="L38" s="17"/>
      <c r="M38" s="17">
        <f>-1</f>
        <v>-1</v>
      </c>
      <c r="O38" s="19"/>
      <c r="P38" s="19"/>
      <c r="Q38" s="3"/>
      <c r="R38" s="3"/>
      <c r="S38" s="3"/>
      <c r="T38" s="3"/>
      <c r="U38" s="3"/>
      <c r="V38" s="3"/>
      <c r="W38" s="21" t="s">
        <v>53</v>
      </c>
    </row>
    <row r="39" spans="1:23">
      <c r="A39" s="14">
        <f>C39+D39+F39</f>
        <v>1</v>
      </c>
      <c r="B39" s="17" t="s">
        <v>56</v>
      </c>
      <c r="C39" s="17">
        <v>0</v>
      </c>
      <c r="D39" s="17">
        <v>1</v>
      </c>
      <c r="E39" s="17">
        <f>C39-D39</f>
        <v>-1</v>
      </c>
      <c r="F39" s="17"/>
      <c r="G39" s="17"/>
      <c r="H39" s="17"/>
      <c r="I39" s="17"/>
      <c r="J39" s="17"/>
      <c r="K39" s="18" t="s">
        <v>33</v>
      </c>
      <c r="L39" s="17"/>
      <c r="M39" s="17">
        <f>-1</f>
        <v>-1</v>
      </c>
      <c r="O39" s="19"/>
      <c r="P39" s="19"/>
      <c r="Q39" s="3"/>
      <c r="R39" s="3"/>
      <c r="S39" s="3"/>
      <c r="T39" s="3"/>
      <c r="U39" s="3"/>
      <c r="V39" s="3"/>
      <c r="W39" s="22" t="s">
        <v>55</v>
      </c>
    </row>
    <row r="40" spans="1:23" ht="15.75" thickBot="1">
      <c r="O40" s="19"/>
      <c r="P40" s="19"/>
      <c r="Q40" s="3"/>
      <c r="R40" s="3"/>
      <c r="S40" s="3"/>
      <c r="T40" s="3"/>
      <c r="U40" s="3"/>
      <c r="V40" s="3"/>
      <c r="W40" s="23" t="s">
        <v>57</v>
      </c>
    </row>
    <row r="41" spans="1:23">
      <c r="O41" s="19"/>
      <c r="P41" s="19"/>
      <c r="Q41" s="3"/>
      <c r="R41" s="3"/>
      <c r="S41" s="3"/>
      <c r="T41" s="3"/>
      <c r="U41" s="3"/>
      <c r="V41" s="3"/>
      <c r="W41" s="21" t="s">
        <v>58</v>
      </c>
    </row>
    <row r="42" spans="1:23">
      <c r="O42" s="4"/>
      <c r="P42" s="4"/>
      <c r="Q42" s="3"/>
      <c r="R42" s="3"/>
      <c r="S42" s="3"/>
      <c r="T42" s="3"/>
      <c r="U42" s="3"/>
      <c r="V42" s="3"/>
      <c r="W42" s="24" t="s">
        <v>59</v>
      </c>
    </row>
    <row r="43" spans="1:23" ht="15.75" thickBot="1">
      <c r="A43" s="14"/>
      <c r="L43" s="18"/>
      <c r="M43" s="18"/>
      <c r="O43" s="4"/>
      <c r="P43" s="4"/>
      <c r="Q43" s="3"/>
      <c r="R43" s="3"/>
      <c r="S43" s="3"/>
      <c r="T43" s="3"/>
      <c r="U43" s="3"/>
      <c r="V43" s="3"/>
      <c r="W43" s="23" t="s">
        <v>60</v>
      </c>
    </row>
    <row r="44" spans="1:23">
      <c r="A44" s="14">
        <f>C44+D44+F44</f>
        <v>0</v>
      </c>
      <c r="B44" s="17" t="s">
        <v>61</v>
      </c>
      <c r="C44" s="17"/>
      <c r="D44" s="17"/>
      <c r="E44" s="17">
        <f>C44-D44</f>
        <v>0</v>
      </c>
      <c r="F44" s="17"/>
      <c r="G44" s="17"/>
      <c r="H44" s="17"/>
      <c r="I44" s="17"/>
      <c r="J44" s="17"/>
      <c r="K44" s="18" t="s">
        <v>37</v>
      </c>
      <c r="L44" s="18"/>
      <c r="M44" s="15"/>
      <c r="O44" s="4"/>
      <c r="P44" s="4"/>
      <c r="Q44" s="3"/>
      <c r="R44" s="3"/>
      <c r="S44" s="3"/>
      <c r="T44" s="3"/>
      <c r="U44" s="3"/>
      <c r="V44" s="3"/>
      <c r="W44" s="25"/>
    </row>
    <row r="45" spans="1:23">
      <c r="A45" s="14">
        <f>C45+D45+F45</f>
        <v>0</v>
      </c>
      <c r="B45" s="17" t="s">
        <v>62</v>
      </c>
      <c r="C45" s="17"/>
      <c r="D45" s="17"/>
      <c r="E45" s="17">
        <f>C45-D45</f>
        <v>0</v>
      </c>
      <c r="F45" s="15"/>
      <c r="G45" s="17"/>
      <c r="H45" s="17"/>
      <c r="I45" s="17"/>
      <c r="J45" s="15"/>
      <c r="K45" s="18" t="s">
        <v>33</v>
      </c>
      <c r="L45" s="18"/>
      <c r="M45" s="18"/>
      <c r="O45" s="4"/>
      <c r="P45" s="4"/>
      <c r="Q45" s="3"/>
      <c r="R45" s="3"/>
      <c r="S45" s="3"/>
      <c r="T45" s="3"/>
      <c r="U45" s="3"/>
      <c r="V45" s="3"/>
      <c r="W45" s="25"/>
    </row>
    <row r="46" spans="1:23">
      <c r="A46" s="14">
        <f>C46+D46+F46</f>
        <v>0</v>
      </c>
      <c r="B46" s="17" t="s">
        <v>63</v>
      </c>
      <c r="C46" s="17"/>
      <c r="D46" s="17"/>
      <c r="E46" s="17">
        <f>C46-D46</f>
        <v>0</v>
      </c>
      <c r="F46" s="17"/>
      <c r="G46" s="17"/>
      <c r="H46" s="17"/>
      <c r="I46" s="17"/>
      <c r="J46" s="17"/>
      <c r="K46" s="18" t="s">
        <v>28</v>
      </c>
      <c r="L46" s="18"/>
      <c r="M46" s="18"/>
      <c r="O46" s="4"/>
      <c r="P46" s="4"/>
      <c r="Q46" s="3"/>
      <c r="R46" s="3"/>
      <c r="S46" s="3"/>
      <c r="T46" s="3"/>
      <c r="U46" s="3"/>
      <c r="V46" s="3"/>
      <c r="W46" s="25"/>
    </row>
    <row r="47" spans="1:23">
      <c r="A47" s="14">
        <f t="shared" ref="A47:A49" si="8">C47+D47+F47</f>
        <v>0</v>
      </c>
      <c r="B47" s="17" t="s">
        <v>64</v>
      </c>
      <c r="C47" s="17"/>
      <c r="D47" s="17"/>
      <c r="E47" s="17">
        <f t="shared" ref="E47:E49" si="9">C47-D47</f>
        <v>0</v>
      </c>
      <c r="F47" s="17"/>
      <c r="G47" s="17"/>
      <c r="H47" s="17"/>
      <c r="I47" s="17"/>
      <c r="J47" s="17"/>
      <c r="K47" s="18" t="s">
        <v>21</v>
      </c>
      <c r="L47" s="18"/>
      <c r="M47" s="18"/>
      <c r="O47" s="4"/>
      <c r="P47" s="4"/>
      <c r="Q47" s="3"/>
      <c r="R47" s="3"/>
      <c r="S47" s="3"/>
      <c r="T47" s="3"/>
      <c r="U47" s="3"/>
      <c r="V47" s="3"/>
      <c r="W47" s="25"/>
    </row>
    <row r="48" spans="1:23">
      <c r="A48" s="14">
        <f t="shared" si="8"/>
        <v>0</v>
      </c>
      <c r="B48" s="17" t="s">
        <v>65</v>
      </c>
      <c r="C48" s="17"/>
      <c r="D48" s="17"/>
      <c r="E48" s="17">
        <f t="shared" si="9"/>
        <v>0</v>
      </c>
      <c r="F48" s="17"/>
      <c r="G48" s="17"/>
      <c r="H48" s="17"/>
      <c r="I48" s="17"/>
      <c r="J48" s="17"/>
      <c r="K48" s="18" t="s">
        <v>21</v>
      </c>
      <c r="L48" s="18"/>
      <c r="M48" s="18"/>
      <c r="O48" s="4"/>
      <c r="P48" s="4"/>
      <c r="Q48" s="3"/>
      <c r="R48" s="3"/>
      <c r="S48" s="3"/>
      <c r="T48" s="3"/>
      <c r="U48" s="3"/>
      <c r="V48" s="3"/>
      <c r="W48" s="25"/>
    </row>
    <row r="49" spans="1:23">
      <c r="A49" s="14">
        <f t="shared" si="8"/>
        <v>0</v>
      </c>
      <c r="B49" s="17" t="s">
        <v>66</v>
      </c>
      <c r="C49" s="17"/>
      <c r="D49" s="17"/>
      <c r="E49" s="17">
        <f t="shared" si="9"/>
        <v>0</v>
      </c>
      <c r="F49" s="17"/>
      <c r="G49" s="17"/>
      <c r="H49" s="17"/>
      <c r="I49" s="17"/>
      <c r="J49" s="17"/>
      <c r="K49" s="18" t="s">
        <v>21</v>
      </c>
      <c r="L49" s="18"/>
      <c r="M49" s="18"/>
      <c r="O49" s="4"/>
      <c r="P49" s="4"/>
      <c r="Q49" s="3"/>
      <c r="R49" s="3"/>
      <c r="S49" s="3"/>
      <c r="T49" s="3"/>
      <c r="U49" s="3"/>
      <c r="V49" s="3"/>
      <c r="W49" s="25"/>
    </row>
    <row r="50" spans="1:23">
      <c r="O50" s="4"/>
      <c r="P50" s="4"/>
      <c r="Q50" s="3"/>
      <c r="R50" s="3"/>
      <c r="S50" s="3"/>
      <c r="T50" s="3"/>
      <c r="U50" s="3"/>
      <c r="V50" s="3"/>
    </row>
    <row r="51" spans="1:23">
      <c r="O51" s="4"/>
      <c r="P51" s="4"/>
      <c r="Q51" s="3"/>
      <c r="R51" s="3"/>
      <c r="S51" s="3"/>
      <c r="T51" s="3"/>
      <c r="U51" s="3"/>
      <c r="V51" s="3"/>
    </row>
    <row r="52" spans="1:23">
      <c r="O52" s="4"/>
      <c r="P52" s="4"/>
      <c r="Q52" s="3"/>
      <c r="R52" s="3"/>
      <c r="S52" s="3"/>
      <c r="T52" s="3"/>
      <c r="U52" s="3"/>
      <c r="V52" s="3"/>
    </row>
    <row r="53" spans="1:23">
      <c r="O53" s="4"/>
      <c r="P53" s="4"/>
      <c r="Q53" s="3"/>
      <c r="R53" s="3"/>
      <c r="S53" s="3"/>
      <c r="T53" s="3"/>
      <c r="U53" s="3"/>
      <c r="V53" s="3"/>
    </row>
    <row r="54" spans="1:23">
      <c r="O54" s="4"/>
      <c r="P54" s="4"/>
      <c r="Q54" s="3"/>
      <c r="R54" s="3"/>
      <c r="S54" s="3"/>
      <c r="T54" s="3"/>
      <c r="U54" s="3"/>
      <c r="V54" s="3"/>
    </row>
    <row r="55" spans="1:23">
      <c r="O55" s="4"/>
      <c r="P55" s="4"/>
      <c r="Q55" s="3"/>
      <c r="R55" s="3"/>
      <c r="S55" s="3"/>
      <c r="T55" s="3"/>
      <c r="U55" s="3"/>
      <c r="V55" s="3"/>
    </row>
    <row r="57" spans="1:23">
      <c r="C57" s="26">
        <f>SUM(C5:C53)</f>
        <v>114</v>
      </c>
      <c r="D57" s="26">
        <f>SUM(D5:D53)</f>
        <v>114</v>
      </c>
      <c r="E57" s="26">
        <f>SUM(E5:E53)</f>
        <v>0</v>
      </c>
      <c r="F57" s="26">
        <f>SUM(F5:F53)</f>
        <v>0</v>
      </c>
      <c r="G57" s="26"/>
      <c r="H57" s="26">
        <f>SUM(H5:H53)</f>
        <v>36</v>
      </c>
      <c r="I57" s="26">
        <f>SUM(I5:I53)</f>
        <v>36</v>
      </c>
      <c r="J57" s="26">
        <f>SUM(J5:J53)</f>
        <v>0</v>
      </c>
      <c r="K57" s="27"/>
      <c r="L57" s="26">
        <f>SUM(L5:L53)</f>
        <v>0</v>
      </c>
      <c r="M57" s="26">
        <f>SUM(M5:M53)</f>
        <v>0</v>
      </c>
      <c r="O57" s="28"/>
      <c r="P57" s="28"/>
      <c r="Q57" s="26">
        <f t="shared" ref="Q57:V57" si="10">SUM(Q5:Q52)</f>
        <v>70</v>
      </c>
      <c r="R57" s="26">
        <f t="shared" si="10"/>
        <v>4</v>
      </c>
      <c r="S57" s="26">
        <f t="shared" si="10"/>
        <v>38</v>
      </c>
      <c r="T57" s="26">
        <f t="shared" si="10"/>
        <v>0</v>
      </c>
      <c r="U57" s="26">
        <f t="shared" si="10"/>
        <v>0</v>
      </c>
      <c r="V57" s="26">
        <f t="shared" si="10"/>
        <v>193</v>
      </c>
    </row>
    <row r="58" spans="1:23">
      <c r="O58" s="28"/>
      <c r="P58" s="28"/>
    </row>
    <row r="59" spans="1:23">
      <c r="A59" s="1" t="s">
        <v>67</v>
      </c>
      <c r="B59" s="12" t="s">
        <v>91</v>
      </c>
      <c r="O59" s="28"/>
      <c r="P59" s="28"/>
    </row>
    <row r="60" spans="1:23">
      <c r="A60" s="1" t="s">
        <v>69</v>
      </c>
      <c r="B60" s="12" t="s">
        <v>104</v>
      </c>
      <c r="O60" s="28"/>
      <c r="P60" s="28"/>
    </row>
    <row r="61" spans="1:23">
      <c r="A61" s="1" t="s">
        <v>69</v>
      </c>
      <c r="B61" s="20" t="s">
        <v>70</v>
      </c>
      <c r="O61" s="28"/>
      <c r="P61" s="28"/>
    </row>
    <row r="62" spans="1:23">
      <c r="A62" s="1" t="s">
        <v>71</v>
      </c>
      <c r="B62" s="20" t="s">
        <v>72</v>
      </c>
      <c r="O62" s="28"/>
      <c r="P62" s="28"/>
    </row>
    <row r="63" spans="1:23">
      <c r="A63" s="1" t="s">
        <v>75</v>
      </c>
      <c r="B63" s="20" t="s">
        <v>76</v>
      </c>
      <c r="O63" s="28"/>
      <c r="P63" s="28"/>
    </row>
    <row r="64" spans="1:23">
      <c r="A64" s="1" t="s">
        <v>69</v>
      </c>
      <c r="B64" s="20" t="s">
        <v>77</v>
      </c>
      <c r="O64" s="28"/>
      <c r="P64" s="28"/>
    </row>
    <row r="65" spans="1:21">
      <c r="A65" s="1" t="s">
        <v>75</v>
      </c>
      <c r="B65" s="20" t="s">
        <v>78</v>
      </c>
      <c r="O65" s="28"/>
      <c r="P65" s="28"/>
    </row>
    <row r="66" spans="1:21">
      <c r="A66" s="1" t="s">
        <v>67</v>
      </c>
      <c r="B66" s="20" t="s">
        <v>90</v>
      </c>
      <c r="O66" s="28"/>
      <c r="P66" s="28"/>
    </row>
    <row r="67" spans="1:21">
      <c r="A67" s="1" t="s">
        <v>84</v>
      </c>
      <c r="B67" s="20" t="s">
        <v>85</v>
      </c>
      <c r="O67" s="28"/>
      <c r="P67" s="28"/>
    </row>
    <row r="68" spans="1:21">
      <c r="A68" s="1" t="s">
        <v>87</v>
      </c>
      <c r="B68" s="20" t="s">
        <v>88</v>
      </c>
      <c r="O68" s="29"/>
      <c r="P68" s="29"/>
    </row>
    <row r="69" spans="1:21">
      <c r="A69" s="1" t="s">
        <v>67</v>
      </c>
      <c r="B69" s="20" t="s">
        <v>89</v>
      </c>
      <c r="O69" s="29"/>
      <c r="P69" s="29"/>
    </row>
    <row r="70" spans="1:21">
      <c r="A70" s="1" t="s">
        <v>92</v>
      </c>
      <c r="B70" s="20" t="s">
        <v>93</v>
      </c>
      <c r="O70" s="28"/>
      <c r="P70" s="28"/>
    </row>
    <row r="71" spans="1:21">
      <c r="O71" s="28"/>
      <c r="P71" s="28"/>
    </row>
    <row r="72" spans="1:21">
      <c r="O72" s="28"/>
      <c r="P72" s="28"/>
    </row>
    <row r="73" spans="1:21">
      <c r="O73" s="28"/>
      <c r="P73" s="28"/>
    </row>
    <row r="74" spans="1:21">
      <c r="O74" s="28"/>
      <c r="P74" s="28"/>
    </row>
    <row r="75" spans="1:21">
      <c r="O75" s="28"/>
      <c r="P75" s="28"/>
    </row>
    <row r="76" spans="1:21">
      <c r="O76" s="28"/>
      <c r="P76" s="28"/>
    </row>
    <row r="77" spans="1:21">
      <c r="O77" s="29"/>
      <c r="P77" s="30"/>
    </row>
    <row r="78" spans="1:21">
      <c r="O78" s="29"/>
      <c r="P78" s="29"/>
    </row>
    <row r="79" spans="1:21">
      <c r="Q79" s="26"/>
      <c r="R79" s="26"/>
      <c r="S79" s="26"/>
      <c r="T79" s="26"/>
      <c r="U79" s="2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 Standings  </vt:lpstr>
    </vt:vector>
  </TitlesOfParts>
  <Company>RCMP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johough</cp:lastModifiedBy>
  <dcterms:created xsi:type="dcterms:W3CDTF">2016-05-02T01:37:41Z</dcterms:created>
  <dcterms:modified xsi:type="dcterms:W3CDTF">2016-06-29T17:58:07Z</dcterms:modified>
</cp:coreProperties>
</file>