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28455" windowHeight="12255"/>
  </bookViews>
  <sheets>
    <sheet name="2015 Standings  " sheetId="1" r:id="rId1"/>
  </sheets>
  <calcPr calcId="125725"/>
</workbook>
</file>

<file path=xl/calcChain.xml><?xml version="1.0" encoding="utf-8"?>
<calcChain xmlns="http://schemas.openxmlformats.org/spreadsheetml/2006/main">
  <c r="U11" i="1"/>
  <c r="U9"/>
  <c r="U56"/>
  <c r="U14"/>
  <c r="V9"/>
  <c r="Q11"/>
  <c r="Q9"/>
  <c r="Q56"/>
  <c r="Q14"/>
  <c r="R56"/>
  <c r="R14"/>
  <c r="P11"/>
  <c r="O11"/>
  <c r="P9"/>
  <c r="O9"/>
  <c r="P56"/>
  <c r="O56"/>
  <c r="P14"/>
  <c r="O14"/>
  <c r="M11"/>
  <c r="L11"/>
  <c r="M9"/>
  <c r="L9"/>
  <c r="M14"/>
  <c r="L14"/>
  <c r="M56"/>
  <c r="L56"/>
  <c r="A56"/>
  <c r="F56"/>
  <c r="U57"/>
  <c r="U5"/>
  <c r="U7"/>
  <c r="U10"/>
  <c r="V5"/>
  <c r="V7"/>
  <c r="V10"/>
  <c r="Q5"/>
  <c r="Q7"/>
  <c r="P57"/>
  <c r="O57"/>
  <c r="P5"/>
  <c r="O5"/>
  <c r="P7"/>
  <c r="O7"/>
  <c r="P10"/>
  <c r="O10"/>
  <c r="M57"/>
  <c r="L57"/>
  <c r="A57"/>
  <c r="F57"/>
  <c r="M10"/>
  <c r="L10"/>
  <c r="M7"/>
  <c r="L7"/>
  <c r="M5"/>
  <c r="L5"/>
  <c r="U13"/>
  <c r="V11"/>
  <c r="V14"/>
  <c r="Q13"/>
  <c r="Q10"/>
  <c r="S14"/>
  <c r="S10"/>
  <c r="R10"/>
  <c r="P13"/>
  <c r="O13"/>
  <c r="U12"/>
  <c r="U6"/>
  <c r="V6"/>
  <c r="Q12"/>
  <c r="Q6"/>
  <c r="S6"/>
  <c r="S9"/>
  <c r="S7"/>
  <c r="P12"/>
  <c r="O12"/>
  <c r="P6"/>
  <c r="O6"/>
  <c r="M12"/>
  <c r="L12"/>
  <c r="M13"/>
  <c r="L13"/>
  <c r="M6"/>
  <c r="L6"/>
  <c r="U30"/>
  <c r="U16"/>
  <c r="V30"/>
  <c r="V16"/>
  <c r="V13"/>
  <c r="Q30"/>
  <c r="S16"/>
  <c r="S30"/>
  <c r="P30"/>
  <c r="O30"/>
  <c r="P16"/>
  <c r="O16"/>
  <c r="M30"/>
  <c r="L30"/>
  <c r="M16"/>
  <c r="L16"/>
  <c r="A33"/>
  <c r="A32"/>
  <c r="A31"/>
  <c r="A29"/>
  <c r="U32"/>
  <c r="V32"/>
  <c r="Q32"/>
  <c r="S32"/>
  <c r="P32"/>
  <c r="O32"/>
  <c r="U44"/>
  <c r="U47"/>
  <c r="V44"/>
  <c r="V12"/>
  <c r="V47"/>
  <c r="Q44"/>
  <c r="S12"/>
  <c r="S44"/>
  <c r="P44"/>
  <c r="O44"/>
  <c r="P47"/>
  <c r="O47"/>
  <c r="Q47"/>
  <c r="T7"/>
  <c r="Q16"/>
  <c r="U34"/>
  <c r="V34"/>
  <c r="P34"/>
  <c r="O34"/>
  <c r="U40"/>
  <c r="V40"/>
  <c r="R9"/>
  <c r="R40"/>
  <c r="Q40"/>
  <c r="P40"/>
  <c r="O40"/>
  <c r="M40" l="1"/>
  <c r="L40"/>
  <c r="M34"/>
  <c r="L34"/>
  <c r="U29"/>
  <c r="V29"/>
  <c r="Q29"/>
  <c r="R32"/>
  <c r="R11"/>
  <c r="R5"/>
  <c r="R29"/>
  <c r="P29"/>
  <c r="O29"/>
  <c r="Q34"/>
  <c r="S34"/>
  <c r="M32"/>
  <c r="L32"/>
  <c r="M29"/>
  <c r="L29"/>
  <c r="U35"/>
  <c r="V15"/>
  <c r="T5"/>
  <c r="U15"/>
  <c r="P15"/>
  <c r="O15"/>
  <c r="V58"/>
  <c r="U58"/>
  <c r="P58"/>
  <c r="O58"/>
  <c r="S15"/>
  <c r="U31"/>
  <c r="U8"/>
  <c r="V31"/>
  <c r="S31"/>
  <c r="S11"/>
  <c r="Q31"/>
  <c r="Q8"/>
  <c r="R31"/>
  <c r="P31"/>
  <c r="O31"/>
  <c r="P8"/>
  <c r="O8"/>
  <c r="F5"/>
  <c r="M31"/>
  <c r="L31"/>
  <c r="M8"/>
  <c r="L8"/>
  <c r="M15"/>
  <c r="L15"/>
  <c r="V35"/>
  <c r="P35"/>
  <c r="O35"/>
  <c r="S35"/>
  <c r="M35"/>
  <c r="L35"/>
  <c r="U60"/>
  <c r="U59"/>
  <c r="U49"/>
  <c r="V60"/>
  <c r="V59"/>
  <c r="S60"/>
  <c r="S59"/>
  <c r="P59"/>
  <c r="O59"/>
  <c r="Q60"/>
  <c r="Q49"/>
  <c r="P60"/>
  <c r="O60"/>
  <c r="P49"/>
  <c r="O49"/>
  <c r="L49"/>
  <c r="M49"/>
  <c r="A49"/>
  <c r="F49"/>
  <c r="M60"/>
  <c r="L60"/>
  <c r="A60"/>
  <c r="F60"/>
  <c r="M59"/>
  <c r="L59"/>
  <c r="A59" l="1"/>
  <c r="F59"/>
  <c r="J70"/>
  <c r="I70"/>
  <c r="H70"/>
  <c r="E70"/>
  <c r="D70"/>
  <c r="C70"/>
  <c r="L58"/>
  <c r="M58"/>
  <c r="A58"/>
  <c r="F58"/>
  <c r="M44"/>
  <c r="L44"/>
  <c r="M47"/>
  <c r="L47"/>
  <c r="A44"/>
  <c r="F44"/>
  <c r="A47"/>
  <c r="F47"/>
  <c r="R8"/>
  <c r="R70" s="1"/>
  <c r="U45"/>
  <c r="V45"/>
  <c r="V70" s="1"/>
  <c r="P45"/>
  <c r="O45"/>
  <c r="M45"/>
  <c r="L45"/>
  <c r="F62"/>
  <c r="A62"/>
  <c r="F61"/>
  <c r="A61"/>
  <c r="F64"/>
  <c r="A64"/>
  <c r="F63"/>
  <c r="A63"/>
  <c r="M55"/>
  <c r="F55"/>
  <c r="A55"/>
  <c r="M54"/>
  <c r="F54"/>
  <c r="A54"/>
  <c r="M53"/>
  <c r="F53"/>
  <c r="A53"/>
  <c r="M52"/>
  <c r="F52"/>
  <c r="A52"/>
  <c r="M51"/>
  <c r="F51"/>
  <c r="A51"/>
  <c r="M50"/>
  <c r="F50"/>
  <c r="A50"/>
  <c r="F45"/>
  <c r="A45"/>
  <c r="M48"/>
  <c r="F48"/>
  <c r="A48"/>
  <c r="M46"/>
  <c r="F46"/>
  <c r="A46"/>
  <c r="M43"/>
  <c r="F43"/>
  <c r="A43"/>
  <c r="F40"/>
  <c r="A40"/>
  <c r="M42"/>
  <c r="F42"/>
  <c r="A42"/>
  <c r="M41"/>
  <c r="F41"/>
  <c r="A41"/>
  <c r="M39"/>
  <c r="F39"/>
  <c r="A39"/>
  <c r="M38"/>
  <c r="F38"/>
  <c r="A38"/>
  <c r="M37"/>
  <c r="F37"/>
  <c r="A37"/>
  <c r="M36"/>
  <c r="F36"/>
  <c r="A36"/>
  <c r="F34"/>
  <c r="A34"/>
  <c r="F35"/>
  <c r="A35"/>
  <c r="F32"/>
  <c r="F29"/>
  <c r="F30"/>
  <c r="A30"/>
  <c r="F16"/>
  <c r="M33"/>
  <c r="F33"/>
  <c r="F14"/>
  <c r="F15"/>
  <c r="F31"/>
  <c r="F13"/>
  <c r="F12"/>
  <c r="F10"/>
  <c r="F11"/>
  <c r="F9"/>
  <c r="F8"/>
  <c r="T70"/>
  <c r="F7"/>
  <c r="F6"/>
  <c r="S70" l="1"/>
  <c r="Q70"/>
  <c r="U70"/>
  <c r="M70"/>
  <c r="L70"/>
  <c r="F70"/>
</calcChain>
</file>

<file path=xl/sharedStrings.xml><?xml version="1.0" encoding="utf-8"?>
<sst xmlns="http://schemas.openxmlformats.org/spreadsheetml/2006/main" count="169" uniqueCount="119">
  <si>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</si>
  <si>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</si>
  <si>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</si>
  <si>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</si>
  <si>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</si>
  <si>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</si>
  <si>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</si>
  <si>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</si>
  <si>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</si>
  <si>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</si>
  <si>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</si>
  <si>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</si>
  <si>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</si>
  <si>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</si>
  <si>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</si>
  <si>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</si>
  <si>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</si>
  <si>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</si>
  <si>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</si>
  <si>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Owl</t>
  </si>
  <si>
    <t>Eel</t>
  </si>
  <si>
    <t>Eagle</t>
  </si>
  <si>
    <t>2L</t>
  </si>
  <si>
    <t>Yorkie</t>
  </si>
  <si>
    <t>2W</t>
  </si>
  <si>
    <t>Ram</t>
  </si>
  <si>
    <t>Harrier</t>
  </si>
  <si>
    <t>Hound</t>
  </si>
  <si>
    <t>1W</t>
  </si>
  <si>
    <t>Wolf</t>
  </si>
  <si>
    <t>Panda</t>
  </si>
  <si>
    <t>1L</t>
  </si>
  <si>
    <t>Tortoise</t>
  </si>
  <si>
    <t>4L</t>
  </si>
  <si>
    <t>Silver</t>
  </si>
  <si>
    <t>Javelina</t>
  </si>
  <si>
    <t>Buffalo</t>
  </si>
  <si>
    <t>8L</t>
  </si>
  <si>
    <t>Mole</t>
  </si>
  <si>
    <t>GP</t>
  </si>
  <si>
    <t>Fawn</t>
  </si>
  <si>
    <t>Slug</t>
  </si>
  <si>
    <t>Moose</t>
  </si>
  <si>
    <t>Possum</t>
  </si>
  <si>
    <t>3L</t>
  </si>
  <si>
    <t>Hamster</t>
  </si>
  <si>
    <t>FS</t>
  </si>
  <si>
    <t>Crane</t>
  </si>
  <si>
    <t>Pigeon</t>
  </si>
  <si>
    <t>Pup</t>
  </si>
  <si>
    <t>Gecko</t>
  </si>
  <si>
    <t>Mule</t>
  </si>
  <si>
    <t>Bobcat</t>
  </si>
  <si>
    <t>Polar</t>
  </si>
  <si>
    <t>Snail</t>
  </si>
  <si>
    <t>Dillo</t>
  </si>
  <si>
    <t>Fly</t>
  </si>
  <si>
    <t>Camel</t>
  </si>
  <si>
    <t>Grackle</t>
  </si>
  <si>
    <t>Record Streaks</t>
  </si>
  <si>
    <t>Sparrow</t>
  </si>
  <si>
    <t>Heron</t>
  </si>
  <si>
    <t>Eel - 13 Ls</t>
  </si>
  <si>
    <t>Hedgehog</t>
  </si>
  <si>
    <t>plus/minus over 500</t>
  </si>
  <si>
    <t>Crow</t>
  </si>
  <si>
    <t>Eag +20</t>
  </si>
  <si>
    <t>Wolf -26</t>
  </si>
  <si>
    <t>Yahk</t>
  </si>
  <si>
    <t>Phant</t>
  </si>
  <si>
    <t>Croc</t>
  </si>
  <si>
    <t>Wombat</t>
  </si>
  <si>
    <t>Jav - 66</t>
  </si>
  <si>
    <t>Turkey Vulture</t>
  </si>
  <si>
    <t>10S</t>
  </si>
  <si>
    <t>Owl over Moose at Cotters</t>
  </si>
  <si>
    <t>Lion</t>
  </si>
  <si>
    <t>Grizz</t>
  </si>
  <si>
    <t>Wolf over Lion at NanR2</t>
  </si>
  <si>
    <t>Jav over Moose at NanR1(in a W)</t>
  </si>
  <si>
    <t>Eel over Silver at NanR1(in a W)</t>
  </si>
  <si>
    <t>Jav over Owl at NanR2(in a W)</t>
  </si>
  <si>
    <t xml:space="preserve">10S </t>
  </si>
  <si>
    <t>Silv over Ram at NanR2(in a T)</t>
  </si>
  <si>
    <t>Mole over Turkey Vultue at NanR3</t>
  </si>
  <si>
    <t>Ant</t>
  </si>
  <si>
    <t>Marmot</t>
  </si>
  <si>
    <t>Anaconda</t>
  </si>
  <si>
    <t>PL</t>
  </si>
  <si>
    <t>Jav/Conda over Marm/Ant at GV after 14. Win D = NO</t>
  </si>
  <si>
    <t>Jav - 70 (GV p 72)</t>
  </si>
  <si>
    <t>Anaconda - 70 (GV p72)</t>
  </si>
  <si>
    <t>5L</t>
  </si>
  <si>
    <t>4W</t>
  </si>
  <si>
    <t>York - 69</t>
  </si>
  <si>
    <t>Pand - 67</t>
  </si>
  <si>
    <t>Turkey Vulture - 97 (Nan p72)</t>
  </si>
  <si>
    <t>Ham - 67</t>
  </si>
  <si>
    <t>SOM</t>
  </si>
  <si>
    <t xml:space="preserve">Wolf bunker shot on 14 </t>
  </si>
  <si>
    <t>Eel - 66</t>
  </si>
  <si>
    <t>Owl - 84</t>
  </si>
  <si>
    <t>Mole - 71 (Cot p72)</t>
  </si>
  <si>
    <t>Jav - 70 (Nan)</t>
  </si>
  <si>
    <t>Silver - 71 (Nan)</t>
  </si>
  <si>
    <t>Wolf - 71 (Nan)</t>
  </si>
  <si>
    <t>Jav - 67 (Nan p72)</t>
  </si>
  <si>
    <t>Eel - 68 (Nan)</t>
  </si>
  <si>
    <t>Eag - 69</t>
  </si>
  <si>
    <t xml:space="preserve">Wolf - 65 </t>
  </si>
  <si>
    <t>Pand - 69</t>
  </si>
  <si>
    <t>Eel - 16 Ws</t>
  </si>
  <si>
    <t>Woodpecker</t>
  </si>
  <si>
    <t>Eag - 68</t>
  </si>
  <si>
    <t>T3</t>
  </si>
  <si>
    <t>Giraffe</t>
  </si>
  <si>
    <t>harry - 69</t>
  </si>
  <si>
    <t>Harry - 67</t>
  </si>
  <si>
    <t>T10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</si>
</sst>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2" fontId="0" fillId="2" borderId="0" xfId="0" applyNumberFormat="1" applyFill="1"/>
    <xf numFmtId="0" fontId="1" fillId="0" borderId="0" xfId="0" applyFont="1"/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1" fillId="0" borderId="0" xfId="0" applyNumberFormat="1" applyFont="1" applyFill="1" applyBorder="1"/>
    <xf numFmtId="1" fontId="0" fillId="0" borderId="0" xfId="0" applyNumberFormat="1"/>
    <xf numFmtId="4" fontId="0" fillId="0" borderId="0" xfId="0" applyNumberFormat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2"/>
  <sheetViews>
    <sheetView tabSelected="1" workbookViewId="0">
      <selection activeCell="A16" sqref="A16"/>
    </sheetView>
  </sheetViews>
  <sheetFormatPr defaultRowHeight="15"/>
  <cols>
    <col min="1" max="1" width="6.5703125" style="1" bestFit="1" customWidth="1"/>
    <col min="2" max="2" width="16.5703125" bestFit="1" customWidth="1"/>
    <col min="3" max="4" width="5" bestFit="1" customWidth="1"/>
    <col min="5" max="5" width="4.5703125" bestFit="1" customWidth="1"/>
    <col min="6" max="6" width="8.7109375" customWidth="1"/>
    <col min="7" max="7" width="3.5703125" customWidth="1"/>
    <col min="8" max="8" width="4.28515625" bestFit="1" customWidth="1"/>
    <col min="9" max="9" width="4" bestFit="1" customWidth="1"/>
    <col min="10" max="10" width="2.7109375" customWidth="1"/>
    <col min="11" max="11" width="8.7109375" bestFit="1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>
      <c r="O1" s="2"/>
      <c r="P1" s="2"/>
      <c r="Q1" s="3"/>
      <c r="R1" s="3"/>
      <c r="S1" s="3"/>
      <c r="T1" s="3"/>
      <c r="U1" s="3"/>
      <c r="V1" s="3"/>
    </row>
    <row r="2" spans="1:27">
      <c r="B2" t="s">
        <v>0</v>
      </c>
      <c r="E2" t="s">
        <v>1</v>
      </c>
      <c r="H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>
      <c r="K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>
      <c r="O4" s="4"/>
      <c r="P4" s="4"/>
      <c r="Q4" s="3"/>
      <c r="R4" s="3"/>
      <c r="S4" s="3"/>
      <c r="T4" s="3"/>
      <c r="U4" s="3"/>
      <c r="V4" s="3"/>
    </row>
    <row r="5" spans="1:27">
      <c r="A5" s="5">
        <v>1</v>
      </c>
      <c r="B5" s="6" t="s">
        <v>20</v>
      </c>
      <c r="C5" s="6">
        <v>25</v>
      </c>
      <c r="D5" s="6">
        <v>10</v>
      </c>
      <c r="E5" s="6">
        <v>1</v>
      </c>
      <c r="F5" s="6">
        <f>C5-D5</f>
        <v>15</v>
      </c>
      <c r="G5" s="6"/>
      <c r="H5" s="6">
        <v>6</v>
      </c>
      <c r="I5" s="6">
        <v>1</v>
      </c>
      <c r="J5" s="6">
        <v>1</v>
      </c>
      <c r="K5" s="7" t="s">
        <v>31</v>
      </c>
      <c r="L5" s="7">
        <f>2+1+1+1+1+0+2-1</f>
        <v>7</v>
      </c>
      <c r="M5" s="7">
        <f>1-1+1-1-1+1-2+1+0-0-1+0+2+0+3-2-0+1-1+2+1+1+1+2+3+2+0+2+2+1+1+1+1+0+2-1</f>
        <v>22</v>
      </c>
      <c r="O5" s="4">
        <f>(74+80+78+70+70+76+77+76)/8</f>
        <v>75.125</v>
      </c>
      <c r="P5" s="4">
        <f>(70+76+74+66+66+73+73+72)/8</f>
        <v>71.25</v>
      </c>
      <c r="Q5" s="3">
        <f>1+1+4+4+2+2</f>
        <v>14</v>
      </c>
      <c r="R5" s="3">
        <f>1</f>
        <v>1</v>
      </c>
      <c r="S5" s="3"/>
      <c r="T5" s="3">
        <f>1</f>
        <v>1</v>
      </c>
      <c r="U5" s="3">
        <f>-0.5-0.5-8-2.5-4.25-4+0.75+1</f>
        <v>-18</v>
      </c>
      <c r="V5" s="3">
        <f>2+1+1+1+1</f>
        <v>6</v>
      </c>
      <c r="W5" t="s">
        <v>91</v>
      </c>
      <c r="X5" t="s">
        <v>106</v>
      </c>
      <c r="Z5" t="s">
        <v>96</v>
      </c>
      <c r="AA5" t="s">
        <v>101</v>
      </c>
    </row>
    <row r="6" spans="1:27">
      <c r="A6" s="5">
        <v>2</v>
      </c>
      <c r="B6" s="6" t="s">
        <v>19</v>
      </c>
      <c r="C6" s="6">
        <v>22</v>
      </c>
      <c r="D6" s="6">
        <v>11</v>
      </c>
      <c r="E6" s="6"/>
      <c r="F6" s="6">
        <f>C6-D6</f>
        <v>11</v>
      </c>
      <c r="G6" s="6"/>
      <c r="H6" s="6">
        <v>2</v>
      </c>
      <c r="I6" s="6">
        <v>4</v>
      </c>
      <c r="J6" s="6"/>
      <c r="K6" s="7" t="s">
        <v>22</v>
      </c>
      <c r="L6" s="7">
        <f>0-2+0+0-2-0</f>
        <v>-4</v>
      </c>
      <c r="M6" s="7">
        <f>-1-0+0+0+2+1+0+1+1+0-2-2+0-2-1+3+3+1+1+1+1-1+1+1+2+1+0-0-2+0+0-2-0</f>
        <v>7</v>
      </c>
      <c r="O6" s="4">
        <f>(78+90+75+82+87+81)/6</f>
        <v>82.166666666666671</v>
      </c>
      <c r="P6" s="4">
        <f>(72+84+70+77+82+75)/6</f>
        <v>76.666666666666671</v>
      </c>
      <c r="Q6" s="3">
        <f>1+2+1+1</f>
        <v>5</v>
      </c>
      <c r="R6" s="3"/>
      <c r="S6" s="3">
        <f>2</f>
        <v>2</v>
      </c>
      <c r="T6" s="3"/>
      <c r="U6" s="3">
        <f>-0.5+7-4.5+1.75+6.75+2.75</f>
        <v>13.25</v>
      </c>
      <c r="V6" s="3">
        <f>6+2+3+5+4</f>
        <v>20</v>
      </c>
      <c r="W6" t="s">
        <v>94</v>
      </c>
      <c r="X6" t="s">
        <v>109</v>
      </c>
    </row>
    <row r="7" spans="1:27">
      <c r="A7" s="5" t="s">
        <v>114</v>
      </c>
      <c r="B7" s="6" t="s">
        <v>21</v>
      </c>
      <c r="C7" s="6">
        <v>17</v>
      </c>
      <c r="D7" s="6">
        <v>8</v>
      </c>
      <c r="E7" s="6"/>
      <c r="F7" s="6">
        <f t="shared" ref="F7" si="0">C7-D7</f>
        <v>9</v>
      </c>
      <c r="G7" s="6"/>
      <c r="H7" s="6">
        <v>4</v>
      </c>
      <c r="I7" s="6">
        <v>2</v>
      </c>
      <c r="J7" s="6"/>
      <c r="K7" s="7" t="s">
        <v>28</v>
      </c>
      <c r="L7" s="7">
        <f>0+2+0+2-0+1</f>
        <v>5</v>
      </c>
      <c r="M7" s="7">
        <f>-1+1+1-1-1+1+2+0+2+0+1+1+1+0+3+0+1-0-1-0+2+0+2-0+1</f>
        <v>15</v>
      </c>
      <c r="O7" s="4">
        <f>(71+70+71+76+77+69)/6</f>
        <v>72.333333333333329</v>
      </c>
      <c r="P7" s="4">
        <f>(71+69+70+76+76+68)/6</f>
        <v>71.666666666666671</v>
      </c>
      <c r="Q7" s="3">
        <f>4+4+1+2+4+7</f>
        <v>22</v>
      </c>
      <c r="R7" s="3"/>
      <c r="S7" s="3">
        <f>2</f>
        <v>2</v>
      </c>
      <c r="T7" s="3">
        <f>1</f>
        <v>1</v>
      </c>
      <c r="U7" s="3">
        <f>2-3.75-0.75+0+3.75-3</f>
        <v>-1.75</v>
      </c>
      <c r="V7" s="3">
        <f>1+4+1</f>
        <v>6</v>
      </c>
      <c r="W7" t="s">
        <v>108</v>
      </c>
      <c r="X7" t="s">
        <v>107</v>
      </c>
    </row>
    <row r="8" spans="1:27">
      <c r="A8" s="5" t="s">
        <v>114</v>
      </c>
      <c r="B8" s="6" t="s">
        <v>23</v>
      </c>
      <c r="C8" s="6">
        <v>11</v>
      </c>
      <c r="D8" s="6">
        <v>2</v>
      </c>
      <c r="E8" s="6"/>
      <c r="F8" s="6">
        <f t="shared" ref="F8:F13" si="1">C8-D8</f>
        <v>9</v>
      </c>
      <c r="G8" s="6"/>
      <c r="H8" s="6">
        <v>2</v>
      </c>
      <c r="I8" s="6">
        <v>0</v>
      </c>
      <c r="J8" s="6"/>
      <c r="K8" s="7" t="s">
        <v>93</v>
      </c>
      <c r="L8" s="7">
        <f>2+1</f>
        <v>3</v>
      </c>
      <c r="M8" s="7">
        <f>1-1+1+1+2+1+2+1-1+2-1+2+1</f>
        <v>11</v>
      </c>
      <c r="O8" s="4">
        <f>(71+69)/2</f>
        <v>70</v>
      </c>
      <c r="P8" s="4">
        <f>(72+70)/2</f>
        <v>71</v>
      </c>
      <c r="Q8" s="3">
        <f>3+5</f>
        <v>8</v>
      </c>
      <c r="R8" s="3">
        <f>1</f>
        <v>1</v>
      </c>
      <c r="S8" s="3"/>
      <c r="T8" s="3"/>
      <c r="U8" s="3">
        <f>3-1.25</f>
        <v>1.75</v>
      </c>
      <c r="V8" s="3"/>
      <c r="W8" t="s">
        <v>116</v>
      </c>
      <c r="X8" t="s">
        <v>100</v>
      </c>
    </row>
    <row r="9" spans="1:27">
      <c r="A9" s="8">
        <v>5</v>
      </c>
      <c r="B9" s="9" t="s">
        <v>25</v>
      </c>
      <c r="C9" s="9">
        <v>15</v>
      </c>
      <c r="D9" s="9">
        <v>8</v>
      </c>
      <c r="E9" s="9">
        <v>1</v>
      </c>
      <c r="F9" s="9">
        <f t="shared" si="1"/>
        <v>7</v>
      </c>
      <c r="G9" s="9"/>
      <c r="H9" s="9">
        <v>4</v>
      </c>
      <c r="I9" s="9">
        <v>2</v>
      </c>
      <c r="J9" s="9">
        <v>1</v>
      </c>
      <c r="K9" s="10" t="s">
        <v>24</v>
      </c>
      <c r="L9" s="10">
        <f>0-1-0+1-2+2+1</f>
        <v>1</v>
      </c>
      <c r="M9" s="10">
        <f>-1+1+1-2+1-2+1-2+1-0+0-2+3-2+0+1+1+0-1-0+1-2+2+1</f>
        <v>0</v>
      </c>
      <c r="O9" s="4">
        <f>(75+72+72+80+73+74+73)/7</f>
        <v>74.142857142857139</v>
      </c>
      <c r="P9" s="4">
        <f>(75+71+71+81+74+73+71)/7</f>
        <v>73.714285714285708</v>
      </c>
      <c r="Q9" s="3">
        <f>3+2+2+1+3+2+3</f>
        <v>16</v>
      </c>
      <c r="R9" s="3">
        <f>1+1</f>
        <v>2</v>
      </c>
      <c r="S9" s="3">
        <f>1+1</f>
        <v>2</v>
      </c>
      <c r="T9" s="3"/>
      <c r="U9" s="3">
        <f>0-3-1.5+6.5+0-2.75+1.75</f>
        <v>1</v>
      </c>
      <c r="V9" s="3">
        <f>2+1+1+2</f>
        <v>6</v>
      </c>
      <c r="X9" t="s">
        <v>72</v>
      </c>
    </row>
    <row r="10" spans="1:27">
      <c r="A10" s="8">
        <v>6</v>
      </c>
      <c r="B10" s="9" t="s">
        <v>27</v>
      </c>
      <c r="C10" s="9">
        <v>17</v>
      </c>
      <c r="D10" s="9">
        <v>15</v>
      </c>
      <c r="E10" s="9"/>
      <c r="F10" s="9">
        <f t="shared" si="1"/>
        <v>2</v>
      </c>
      <c r="G10" s="9"/>
      <c r="H10" s="9">
        <v>3</v>
      </c>
      <c r="I10" s="9">
        <v>4</v>
      </c>
      <c r="J10" s="9"/>
      <c r="K10" s="10" t="s">
        <v>24</v>
      </c>
      <c r="L10" s="10">
        <f>1-2-1-1-1+0+1</f>
        <v>-3</v>
      </c>
      <c r="M10" s="10">
        <f>1+1+1+2+1+2+0-1-2+0+0+0+0-0-3-2-1+1+1+1-1-2-2-1+0+1-2-1-1-1+0+1</f>
        <v>-7</v>
      </c>
      <c r="O10" s="4">
        <f>(84+85+84+84+78+77+77)/7</f>
        <v>81.285714285714292</v>
      </c>
      <c r="P10" s="4">
        <f>(76+78+77+78+70+70+70)/7</f>
        <v>74.142857142857139</v>
      </c>
      <c r="Q10" s="3">
        <f>2+2+2+2</f>
        <v>8</v>
      </c>
      <c r="R10" s="3">
        <f>1</f>
        <v>1</v>
      </c>
      <c r="S10" s="3">
        <f>1+1+1</f>
        <v>3</v>
      </c>
      <c r="T10" s="3"/>
      <c r="U10" s="3">
        <f>2+3.5+1.75+2.75-0.75-2.75-1</f>
        <v>5.5</v>
      </c>
      <c r="V10" s="3">
        <f>4+5+3+4+1+2+1</f>
        <v>20</v>
      </c>
      <c r="X10" t="s">
        <v>72</v>
      </c>
    </row>
    <row r="11" spans="1:27">
      <c r="A11" s="11">
        <v>7</v>
      </c>
      <c r="B11" s="12" t="s">
        <v>26</v>
      </c>
      <c r="C11" s="12">
        <v>17</v>
      </c>
      <c r="D11" s="12">
        <v>17</v>
      </c>
      <c r="E11" s="12"/>
      <c r="F11" s="12">
        <f t="shared" si="1"/>
        <v>0</v>
      </c>
      <c r="G11" s="12"/>
      <c r="H11" s="12">
        <v>4</v>
      </c>
      <c r="I11" s="12">
        <v>7</v>
      </c>
      <c r="J11" s="12"/>
      <c r="K11" s="13" t="s">
        <v>28</v>
      </c>
      <c r="L11" s="13">
        <f>-1-1+1-0-1+1-1+1-1-2+1</f>
        <v>-3</v>
      </c>
      <c r="M11" s="13">
        <f>3+1-0-1-1-1-1+2+2-1+2+1-2+2+2+2+2-1+1+3-1+1+1-1-1+1-0-1+1-1+1-1-2+1</f>
        <v>13</v>
      </c>
      <c r="O11" s="4">
        <f>(78+75+74+72+73+77+73+73+72+79+69)/11</f>
        <v>74.090909090909093</v>
      </c>
      <c r="P11" s="4">
        <f>(76+73+72+70+71+75+71+71+70+77+67)/11</f>
        <v>72.090909090909093</v>
      </c>
      <c r="Q11" s="3">
        <f>2+1+4+2+2+1+2+4+4+2+5</f>
        <v>29</v>
      </c>
      <c r="R11" s="3">
        <f>1+1+1</f>
        <v>3</v>
      </c>
      <c r="S11" s="3">
        <f>1+1</f>
        <v>2</v>
      </c>
      <c r="T11" s="3"/>
      <c r="U11" s="3">
        <f>2+0.75-2+0.5-1.75+3.5+0.75+0.25-3.5+4.25-2.25</f>
        <v>2.5</v>
      </c>
      <c r="V11" s="3">
        <f>2+1+2+1+1+1+3</f>
        <v>11</v>
      </c>
      <c r="X11" t="s">
        <v>117</v>
      </c>
    </row>
    <row r="12" spans="1:27">
      <c r="A12" s="11">
        <v>8</v>
      </c>
      <c r="B12" s="12" t="s">
        <v>29</v>
      </c>
      <c r="C12" s="12">
        <v>17</v>
      </c>
      <c r="D12" s="12">
        <v>18</v>
      </c>
      <c r="E12" s="12"/>
      <c r="F12" s="12">
        <f t="shared" si="1"/>
        <v>-1</v>
      </c>
      <c r="G12" s="12"/>
      <c r="H12" s="12">
        <v>2</v>
      </c>
      <c r="I12" s="12">
        <v>3</v>
      </c>
      <c r="J12" s="12"/>
      <c r="K12" s="13" t="s">
        <v>24</v>
      </c>
      <c r="L12" s="13">
        <f>0-1-1+1+2</f>
        <v>1</v>
      </c>
      <c r="M12" s="13">
        <f>3+0+1+1-1+1-1-1-1+1+0+1+0-2-1-1-1+2+2+0-1-2-1+1-2-0-0-1+1+1-0-1-1+1+2</f>
        <v>0</v>
      </c>
      <c r="O12" s="4">
        <f>(83+82+78+82+75)/5</f>
        <v>80</v>
      </c>
      <c r="P12" s="4">
        <f>(74+72+69+73+65)/5</f>
        <v>70.599999999999994</v>
      </c>
      <c r="Q12" s="3">
        <f>2+1+1+2</f>
        <v>6</v>
      </c>
      <c r="R12" s="3"/>
      <c r="S12" s="3">
        <f>1+1</f>
        <v>2</v>
      </c>
      <c r="T12" s="3"/>
      <c r="U12" s="3">
        <f>2+0.5-1.75-3-7.25</f>
        <v>-9.5</v>
      </c>
      <c r="V12" s="3">
        <f>3+3+2</f>
        <v>8</v>
      </c>
      <c r="X12" t="s">
        <v>95</v>
      </c>
    </row>
    <row r="13" spans="1:27">
      <c r="A13" s="11">
        <v>9</v>
      </c>
      <c r="B13" s="12" t="s">
        <v>30</v>
      </c>
      <c r="C13" s="12">
        <v>10</v>
      </c>
      <c r="D13" s="12">
        <v>13</v>
      </c>
      <c r="E13" s="12"/>
      <c r="F13" s="12">
        <f t="shared" si="1"/>
        <v>-3</v>
      </c>
      <c r="G13" s="12"/>
      <c r="H13" s="12">
        <v>2</v>
      </c>
      <c r="I13" s="12">
        <v>4</v>
      </c>
      <c r="J13" s="12"/>
      <c r="K13" s="13" t="s">
        <v>22</v>
      </c>
      <c r="L13" s="13">
        <f>0-1+0+1-1-2</f>
        <v>-3</v>
      </c>
      <c r="M13" s="13">
        <f>-3+0+1-0-2-0-0-2-1-1+1-0+1+2+1+2-0-0-1+0+1-1-2</f>
        <v>-4</v>
      </c>
      <c r="O13" s="4">
        <f>(72+76+81+75+81+73)/6</f>
        <v>76.333333333333329</v>
      </c>
      <c r="P13" s="4">
        <f>(67+71+76+70+77+69)/6</f>
        <v>71.666666666666671</v>
      </c>
      <c r="Q13" s="3">
        <f>1+2+3+1</f>
        <v>7</v>
      </c>
      <c r="R13" s="3"/>
      <c r="S13" s="3"/>
      <c r="T13" s="3"/>
      <c r="U13" s="3">
        <f>-2-1-1-0.75+3.5-3.75</f>
        <v>-5</v>
      </c>
      <c r="V13" s="3">
        <f>1+2+1+2</f>
        <v>6</v>
      </c>
      <c r="X13" t="s">
        <v>97</v>
      </c>
    </row>
    <row r="14" spans="1:27">
      <c r="A14" s="11" t="s">
        <v>118</v>
      </c>
      <c r="B14" s="12" t="s">
        <v>35</v>
      </c>
      <c r="C14" s="12">
        <v>13</v>
      </c>
      <c r="D14" s="12">
        <v>20</v>
      </c>
      <c r="E14" s="12"/>
      <c r="F14" s="12">
        <f t="shared" ref="F14:F15" si="2">C14-D14</f>
        <v>-7</v>
      </c>
      <c r="G14" s="12"/>
      <c r="H14" s="12">
        <v>6</v>
      </c>
      <c r="I14" s="12">
        <v>5</v>
      </c>
      <c r="J14" s="12"/>
      <c r="K14" s="13" t="s">
        <v>31</v>
      </c>
      <c r="L14" s="13">
        <f>2+1+2+2+1-0-1-0-1+0-1</f>
        <v>5</v>
      </c>
      <c r="M14" s="13">
        <f>2-1-1-0+0-1-3-2-1+1+2+1-1+0-0+1-0+1-1-1+1-0+2+1+2+2+1-0-1-0-1+0-1</f>
        <v>2</v>
      </c>
      <c r="N14" s="14"/>
      <c r="O14" s="4">
        <f>(74+75+80+82+79+81+76+73+79+82+73)/11</f>
        <v>77.63636363636364</v>
      </c>
      <c r="P14" s="4">
        <f>(66+68+73+75+72+74+68+66+72+75+66)/11</f>
        <v>70.454545454545453</v>
      </c>
      <c r="Q14" s="3">
        <f>2+1+2+1+2+1+1+3+1+2+1</f>
        <v>17</v>
      </c>
      <c r="R14" s="3">
        <f>1+1+1+1</f>
        <v>4</v>
      </c>
      <c r="S14" s="3">
        <f>1+1</f>
        <v>2</v>
      </c>
      <c r="T14" s="3"/>
      <c r="U14" s="3">
        <f>-3-4.5+1+2.25+0.5-1.75-7.25-10.25+1.25+2.25-3.25</f>
        <v>-22.75</v>
      </c>
      <c r="V14" s="3">
        <f>4+2+2+4+1+1+4</f>
        <v>18</v>
      </c>
      <c r="X14" t="s">
        <v>103</v>
      </c>
    </row>
    <row r="15" spans="1:27">
      <c r="A15" s="11" t="s">
        <v>118</v>
      </c>
      <c r="B15" s="12" t="s">
        <v>34</v>
      </c>
      <c r="C15" s="12">
        <v>3</v>
      </c>
      <c r="D15" s="12">
        <v>10</v>
      </c>
      <c r="E15" s="12">
        <v>1</v>
      </c>
      <c r="F15" s="12">
        <f t="shared" si="2"/>
        <v>-7</v>
      </c>
      <c r="G15" s="12"/>
      <c r="H15" s="12">
        <v>1</v>
      </c>
      <c r="I15" s="12">
        <v>1</v>
      </c>
      <c r="J15" s="12">
        <v>1</v>
      </c>
      <c r="K15" s="13" t="s">
        <v>31</v>
      </c>
      <c r="L15" s="13">
        <f>0+2-2</f>
        <v>0</v>
      </c>
      <c r="M15" s="13">
        <f>-3-1+1-1-3+2-1-1-2-2-2+0+2-2</f>
        <v>-13</v>
      </c>
      <c r="O15" s="4">
        <f>(85+78+88)/3</f>
        <v>83.666666666666671</v>
      </c>
      <c r="P15" s="4">
        <f>(75+69+79)/3</f>
        <v>74.333333333333329</v>
      </c>
      <c r="Q15" s="3"/>
      <c r="R15" s="3"/>
      <c r="S15" s="3">
        <f>1</f>
        <v>1</v>
      </c>
      <c r="T15" s="3"/>
      <c r="U15" s="3">
        <f>2.5-5.5+5</f>
        <v>2</v>
      </c>
      <c r="V15" s="3">
        <f>3+1+4</f>
        <v>8</v>
      </c>
      <c r="X15" t="s">
        <v>90</v>
      </c>
    </row>
    <row r="16" spans="1:27">
      <c r="A16" s="1">
        <v>12</v>
      </c>
      <c r="B16" s="12" t="s">
        <v>38</v>
      </c>
      <c r="C16" s="12">
        <v>9</v>
      </c>
      <c r="D16" s="12">
        <v>20</v>
      </c>
      <c r="E16" s="12">
        <v>1</v>
      </c>
      <c r="F16" s="12">
        <f>C16-D16</f>
        <v>-11</v>
      </c>
      <c r="G16" s="12"/>
      <c r="H16" s="12">
        <v>2</v>
      </c>
      <c r="I16" s="12">
        <v>2</v>
      </c>
      <c r="J16" s="12">
        <v>1</v>
      </c>
      <c r="K16" s="13" t="s">
        <v>28</v>
      </c>
      <c r="L16" s="13">
        <f>1-1+1-0+1</f>
        <v>2</v>
      </c>
      <c r="M16" s="13">
        <f>-1+1-1+0-0-1-1+1+1-0+1-2-2-1-1-0-0-2-3-1+0-0+1-1+2+1-1+1-0+1</f>
        <v>-8</v>
      </c>
      <c r="O16" s="4">
        <f>(78+80+83+76+83)/5</f>
        <v>80</v>
      </c>
      <c r="P16" s="4">
        <f>(72+74+77+69+75)/5</f>
        <v>73.400000000000006</v>
      </c>
      <c r="Q16" s="3">
        <f>1+2</f>
        <v>3</v>
      </c>
      <c r="R16" s="3"/>
      <c r="S16" s="3">
        <f>1+1</f>
        <v>2</v>
      </c>
      <c r="T16" s="3"/>
      <c r="U16" s="3">
        <f>-4.5-0.5+3-5.5+1.5</f>
        <v>-6</v>
      </c>
      <c r="V16" s="3">
        <f>1+2+3+3+3</f>
        <v>12</v>
      </c>
      <c r="X16" t="s">
        <v>113</v>
      </c>
    </row>
    <row r="17" spans="1:24">
      <c r="O17" s="4"/>
      <c r="P17" s="4"/>
      <c r="Q17" s="3"/>
      <c r="R17" s="3"/>
      <c r="S17" s="3"/>
      <c r="T17" s="3"/>
      <c r="U17" s="3"/>
      <c r="V17" s="3"/>
      <c r="X17" t="s">
        <v>104</v>
      </c>
    </row>
    <row r="18" spans="1:24">
      <c r="O18" s="4"/>
      <c r="P18" s="4"/>
      <c r="Q18" s="3"/>
      <c r="R18" s="3"/>
      <c r="S18" s="3"/>
      <c r="T18" s="3"/>
      <c r="U18" s="3"/>
      <c r="V18" s="3"/>
      <c r="X18" t="s">
        <v>102</v>
      </c>
    </row>
    <row r="19" spans="1:24">
      <c r="A19" s="11"/>
      <c r="O19" s="4"/>
      <c r="P19" s="4"/>
      <c r="Q19" s="3"/>
      <c r="R19" s="3"/>
      <c r="S19" s="3"/>
      <c r="T19" s="3"/>
      <c r="U19" s="3"/>
      <c r="V19" s="3"/>
      <c r="X19" t="s">
        <v>105</v>
      </c>
    </row>
    <row r="20" spans="1:24">
      <c r="A20" s="11"/>
      <c r="O20" s="4"/>
      <c r="P20" s="4"/>
      <c r="Q20" s="3"/>
      <c r="R20" s="3"/>
      <c r="S20" s="3"/>
      <c r="T20" s="3"/>
      <c r="U20" s="3"/>
      <c r="V20" s="3"/>
      <c r="X20" t="s">
        <v>108</v>
      </c>
    </row>
    <row r="21" spans="1:24">
      <c r="A21" s="11"/>
      <c r="O21" s="4"/>
      <c r="P21" s="4"/>
      <c r="Q21" s="3"/>
      <c r="R21" s="3"/>
      <c r="S21" s="3"/>
      <c r="T21" s="3"/>
      <c r="U21" s="3"/>
      <c r="V21" s="3"/>
      <c r="X21" t="s">
        <v>110</v>
      </c>
    </row>
    <row r="22" spans="1:24">
      <c r="A22" s="11"/>
      <c r="O22" s="4"/>
      <c r="P22" s="4"/>
      <c r="Q22" s="3"/>
      <c r="R22" s="3"/>
      <c r="S22" s="3"/>
      <c r="T22" s="3"/>
      <c r="U22" s="3"/>
      <c r="V22" s="3"/>
    </row>
    <row r="23" spans="1:24">
      <c r="O23" s="4"/>
      <c r="P23" s="4"/>
      <c r="Q23" s="3"/>
      <c r="R23" s="3"/>
      <c r="S23" s="3"/>
      <c r="T23" s="3"/>
      <c r="U23" s="3"/>
      <c r="V23" s="3"/>
    </row>
    <row r="24" spans="1:24">
      <c r="O24" s="4"/>
      <c r="P24" s="4"/>
      <c r="Q24" s="3"/>
      <c r="R24" s="3"/>
      <c r="S24" s="3"/>
      <c r="T24" s="3"/>
      <c r="U24" s="3"/>
      <c r="V24" s="3"/>
    </row>
    <row r="25" spans="1:24">
      <c r="O25" s="4"/>
      <c r="P25" s="4"/>
      <c r="Q25" s="3"/>
      <c r="R25" s="3"/>
      <c r="S25" s="3"/>
      <c r="T25" s="3"/>
      <c r="U25" s="3"/>
      <c r="V25" s="3"/>
    </row>
    <row r="26" spans="1:24">
      <c r="O26" s="4"/>
      <c r="P26" s="4"/>
      <c r="Q26" s="3"/>
      <c r="R26" s="3"/>
      <c r="S26" s="3"/>
      <c r="T26" s="3"/>
      <c r="U26" s="3"/>
      <c r="V26" s="3"/>
    </row>
    <row r="27" spans="1:24">
      <c r="O27" s="4"/>
      <c r="P27" s="4"/>
      <c r="Q27" s="3"/>
      <c r="R27" s="3"/>
      <c r="S27" s="3"/>
      <c r="T27" s="3"/>
      <c r="U27" s="3"/>
      <c r="V27" s="3"/>
    </row>
    <row r="28" spans="1:24">
      <c r="A28" s="15" t="s">
        <v>39</v>
      </c>
      <c r="B28" s="16"/>
      <c r="C28" s="16"/>
      <c r="D28" s="16"/>
      <c r="E28" s="16"/>
      <c r="F28" s="16"/>
      <c r="G28" s="16"/>
      <c r="H28" s="16"/>
      <c r="I28" s="16"/>
      <c r="J28" s="16"/>
      <c r="K28" s="17"/>
      <c r="L28" s="17"/>
      <c r="M28" s="17"/>
      <c r="O28" s="4"/>
      <c r="P28" s="4"/>
      <c r="Q28" s="3"/>
      <c r="R28" s="3"/>
      <c r="S28" s="3"/>
      <c r="T28" s="3"/>
      <c r="U28" s="3"/>
      <c r="V28" s="3"/>
    </row>
    <row r="29" spans="1:24">
      <c r="A29" s="15">
        <f t="shared" ref="A29:A33" si="3">C29+D29+E29</f>
        <v>11</v>
      </c>
      <c r="B29" s="18" t="s">
        <v>41</v>
      </c>
      <c r="C29" s="18">
        <v>7</v>
      </c>
      <c r="D29" s="18">
        <v>4</v>
      </c>
      <c r="E29" s="18"/>
      <c r="F29" s="18">
        <f>C29-D29</f>
        <v>3</v>
      </c>
      <c r="G29" s="18"/>
      <c r="H29" s="18">
        <v>3</v>
      </c>
      <c r="I29" s="18">
        <v>1</v>
      </c>
      <c r="J29" s="18"/>
      <c r="K29" s="19" t="s">
        <v>31</v>
      </c>
      <c r="L29" s="19">
        <f>1+1+2-1</f>
        <v>3</v>
      </c>
      <c r="M29" s="19">
        <f>-1-1+0+1-1-1+2+1+1+2-1</f>
        <v>2</v>
      </c>
      <c r="O29" s="4">
        <f>(78+77+81+77)/4</f>
        <v>78.25</v>
      </c>
      <c r="P29" s="4">
        <f>(73+72+76+72)/4</f>
        <v>73.25</v>
      </c>
      <c r="Q29" s="3">
        <f>2+1</f>
        <v>3</v>
      </c>
      <c r="R29" s="3">
        <f>1+1</f>
        <v>2</v>
      </c>
      <c r="S29" s="3"/>
      <c r="T29" s="3"/>
      <c r="U29" s="3">
        <f>-1-0.5+3.25+1.75</f>
        <v>3.5</v>
      </c>
      <c r="V29" s="3">
        <f>1+2+2</f>
        <v>5</v>
      </c>
    </row>
    <row r="30" spans="1:24">
      <c r="A30" s="15">
        <f>C30+D30+E30</f>
        <v>11</v>
      </c>
      <c r="B30" s="18" t="s">
        <v>40</v>
      </c>
      <c r="C30" s="18">
        <v>5</v>
      </c>
      <c r="D30" s="18">
        <v>6</v>
      </c>
      <c r="E30" s="16"/>
      <c r="F30" s="18">
        <f>C30-D30</f>
        <v>-1</v>
      </c>
      <c r="G30" s="16"/>
      <c r="H30" s="18">
        <v>2</v>
      </c>
      <c r="I30" s="18">
        <v>1</v>
      </c>
      <c r="J30" s="16"/>
      <c r="K30" s="19" t="s">
        <v>28</v>
      </c>
      <c r="L30" s="18">
        <f>0-0+1</f>
        <v>1</v>
      </c>
      <c r="M30" s="18">
        <f>-1-3-1-1-1+0-1-3+0-0+1</f>
        <v>-10</v>
      </c>
      <c r="O30" s="4">
        <f>(76+82+77)/3</f>
        <v>78.333333333333329</v>
      </c>
      <c r="P30" s="4">
        <f>(72+79+72)/3</f>
        <v>74.333333333333329</v>
      </c>
      <c r="Q30" s="3">
        <f>2+2+2</f>
        <v>6</v>
      </c>
      <c r="R30" s="3"/>
      <c r="S30" s="3">
        <f>1+1</f>
        <v>2</v>
      </c>
      <c r="T30" s="3"/>
      <c r="U30" s="3">
        <f>-0.5+3.25-1.5</f>
        <v>1.25</v>
      </c>
      <c r="V30" s="3">
        <f>2+5+2</f>
        <v>9</v>
      </c>
    </row>
    <row r="31" spans="1:24">
      <c r="A31" s="15">
        <f t="shared" si="3"/>
        <v>11</v>
      </c>
      <c r="B31" s="18" t="s">
        <v>32</v>
      </c>
      <c r="C31" s="18">
        <v>4</v>
      </c>
      <c r="D31" s="18">
        <v>7</v>
      </c>
      <c r="E31" s="18"/>
      <c r="F31" s="18">
        <f>C31-D31</f>
        <v>-3</v>
      </c>
      <c r="G31" s="18"/>
      <c r="H31" s="18">
        <v>0</v>
      </c>
      <c r="I31" s="18">
        <v>1</v>
      </c>
      <c r="J31" s="18"/>
      <c r="K31" s="19" t="s">
        <v>92</v>
      </c>
      <c r="L31" s="19">
        <f>-1</f>
        <v>-1</v>
      </c>
      <c r="M31" s="19">
        <f>0-0+1+1+2+1-1-1-1-1-1</f>
        <v>0</v>
      </c>
      <c r="O31" s="4">
        <f>85</f>
        <v>85</v>
      </c>
      <c r="P31" s="4">
        <f>72</f>
        <v>72</v>
      </c>
      <c r="Q31" s="3">
        <f>2</f>
        <v>2</v>
      </c>
      <c r="R31" s="3">
        <f>1</f>
        <v>1</v>
      </c>
      <c r="S31" s="3">
        <f>1</f>
        <v>1</v>
      </c>
      <c r="T31" s="3"/>
      <c r="U31" s="3">
        <f>0.75</f>
        <v>0.75</v>
      </c>
      <c r="V31" s="3">
        <f>5</f>
        <v>5</v>
      </c>
    </row>
    <row r="32" spans="1:24">
      <c r="A32" s="15">
        <f t="shared" si="3"/>
        <v>11</v>
      </c>
      <c r="B32" s="18" t="s">
        <v>42</v>
      </c>
      <c r="C32" s="18">
        <v>4</v>
      </c>
      <c r="D32" s="18">
        <v>7</v>
      </c>
      <c r="E32" s="18"/>
      <c r="F32" s="18">
        <f>C32-D32</f>
        <v>-3</v>
      </c>
      <c r="G32" s="18"/>
      <c r="H32" s="18">
        <v>1</v>
      </c>
      <c r="I32" s="18">
        <v>3</v>
      </c>
      <c r="J32" s="18"/>
      <c r="K32" s="19" t="s">
        <v>22</v>
      </c>
      <c r="L32" s="19">
        <f>-2-1-1-1</f>
        <v>-5</v>
      </c>
      <c r="M32" s="18">
        <f>0-1+1+2+1-0-1-2-1-1-1</f>
        <v>-3</v>
      </c>
      <c r="O32" s="4">
        <f>(76+84+82+79)/4</f>
        <v>80.25</v>
      </c>
      <c r="P32" s="4">
        <f>(72+81+79+76)/4</f>
        <v>77</v>
      </c>
      <c r="Q32" s="3">
        <f>2+1</f>
        <v>3</v>
      </c>
      <c r="R32" s="3">
        <f>1</f>
        <v>1</v>
      </c>
      <c r="S32" s="3">
        <f>1</f>
        <v>1</v>
      </c>
      <c r="T32" s="3"/>
      <c r="U32" s="3">
        <f>1.75+6.5+3.75+0.75</f>
        <v>12.75</v>
      </c>
      <c r="V32" s="3">
        <f>1+3+3+2</f>
        <v>9</v>
      </c>
    </row>
    <row r="33" spans="1:22">
      <c r="A33" s="15">
        <f t="shared" si="3"/>
        <v>11</v>
      </c>
      <c r="B33" s="18" t="s">
        <v>36</v>
      </c>
      <c r="C33" s="18">
        <v>1</v>
      </c>
      <c r="D33" s="18">
        <v>10</v>
      </c>
      <c r="E33" s="18"/>
      <c r="F33" s="18">
        <f>C33-D33</f>
        <v>-9</v>
      </c>
      <c r="G33" s="18"/>
      <c r="H33" s="18"/>
      <c r="I33" s="18"/>
      <c r="J33" s="18"/>
      <c r="K33" s="19" t="s">
        <v>37</v>
      </c>
      <c r="L33" s="19"/>
      <c r="M33" s="19">
        <f>0-1+1-2-0-1-1-2-1-1-3</f>
        <v>-11</v>
      </c>
      <c r="O33" s="4"/>
      <c r="P33" s="4"/>
      <c r="Q33" s="3"/>
      <c r="R33" s="3"/>
      <c r="S33" s="3"/>
      <c r="T33" s="3"/>
      <c r="U33" s="3"/>
      <c r="V33" s="3"/>
    </row>
    <row r="34" spans="1:22">
      <c r="A34" s="15">
        <f>C34+D34+E34</f>
        <v>9</v>
      </c>
      <c r="B34" s="18" t="s">
        <v>45</v>
      </c>
      <c r="C34" s="18">
        <v>8</v>
      </c>
      <c r="D34" s="18">
        <v>1</v>
      </c>
      <c r="E34" s="18"/>
      <c r="F34" s="18">
        <f t="shared" ref="F34" si="4">C34-D34</f>
        <v>7</v>
      </c>
      <c r="G34" s="18"/>
      <c r="H34" s="18">
        <v>3</v>
      </c>
      <c r="I34" s="18">
        <v>1</v>
      </c>
      <c r="J34" s="18"/>
      <c r="K34" s="18" t="s">
        <v>31</v>
      </c>
      <c r="L34" s="18">
        <f>0+1+1-2</f>
        <v>0</v>
      </c>
      <c r="M34" s="18">
        <f>1+1+0+1+0+0+1+1-2</f>
        <v>3</v>
      </c>
      <c r="N34" s="21"/>
      <c r="O34" s="20">
        <f>(80+78+74+82)/4</f>
        <v>78.5</v>
      </c>
      <c r="P34" s="20">
        <f>(72+71+67+75)/4</f>
        <v>71.25</v>
      </c>
      <c r="Q34" s="3">
        <f>1+2</f>
        <v>3</v>
      </c>
      <c r="R34" s="3"/>
      <c r="S34" s="3">
        <f>1+1</f>
        <v>2</v>
      </c>
      <c r="T34" s="3"/>
      <c r="U34" s="3">
        <f>-3-0.25-4.5-2</f>
        <v>-9.75</v>
      </c>
      <c r="V34" s="3">
        <f>3+1+1</f>
        <v>5</v>
      </c>
    </row>
    <row r="35" spans="1:22">
      <c r="A35" s="15">
        <f t="shared" ref="A35:A57" si="5">C35+D35+E35</f>
        <v>9</v>
      </c>
      <c r="B35" s="18" t="s">
        <v>43</v>
      </c>
      <c r="C35" s="18">
        <v>1</v>
      </c>
      <c r="D35" s="18">
        <v>8</v>
      </c>
      <c r="E35" s="18"/>
      <c r="F35" s="18">
        <f>C35-D35</f>
        <v>-7</v>
      </c>
      <c r="G35" s="18"/>
      <c r="H35" s="18">
        <v>0</v>
      </c>
      <c r="I35" s="18">
        <v>2</v>
      </c>
      <c r="J35" s="18"/>
      <c r="K35" s="19" t="s">
        <v>92</v>
      </c>
      <c r="L35" s="19">
        <f>-2-1</f>
        <v>-3</v>
      </c>
      <c r="M35" s="19">
        <f>-1-1-0+2-2-1-1-2-1</f>
        <v>-7</v>
      </c>
      <c r="O35" s="4">
        <f>(83+86)/2</f>
        <v>84.5</v>
      </c>
      <c r="P35" s="4">
        <f>(72+75)/2</f>
        <v>73.5</v>
      </c>
      <c r="Q35" s="3"/>
      <c r="R35" s="3"/>
      <c r="S35" s="3">
        <f>1</f>
        <v>1</v>
      </c>
      <c r="T35" s="3"/>
      <c r="U35" s="3">
        <f>-3+2.5</f>
        <v>-0.5</v>
      </c>
      <c r="V35" s="3">
        <f>2+4</f>
        <v>6</v>
      </c>
    </row>
    <row r="36" spans="1:22">
      <c r="A36" s="15">
        <f>C36+D36+E36</f>
        <v>5</v>
      </c>
      <c r="B36" s="18" t="s">
        <v>46</v>
      </c>
      <c r="C36" s="18">
        <v>3</v>
      </c>
      <c r="D36" s="18">
        <v>2</v>
      </c>
      <c r="E36" s="18"/>
      <c r="F36" s="18">
        <f t="shared" ref="F36:F37" si="6">C36-D36</f>
        <v>1</v>
      </c>
      <c r="G36" s="18"/>
      <c r="H36" s="18"/>
      <c r="I36" s="18"/>
      <c r="J36" s="18"/>
      <c r="K36" s="18" t="s">
        <v>31</v>
      </c>
      <c r="L36" s="18"/>
      <c r="M36" s="18">
        <f>1-1+1+0-1</f>
        <v>0</v>
      </c>
      <c r="O36" s="4"/>
      <c r="P36" s="4"/>
      <c r="Q36" s="3"/>
      <c r="R36" s="3"/>
      <c r="S36" s="3"/>
      <c r="T36" s="3"/>
      <c r="U36" s="3"/>
      <c r="V36" s="3"/>
    </row>
    <row r="37" spans="1:22">
      <c r="A37" s="15">
        <f>C37+D37+E37</f>
        <v>5</v>
      </c>
      <c r="B37" s="18" t="s">
        <v>47</v>
      </c>
      <c r="C37" s="18">
        <v>2</v>
      </c>
      <c r="D37" s="18">
        <v>3</v>
      </c>
      <c r="E37" s="18"/>
      <c r="F37" s="18">
        <f t="shared" si="6"/>
        <v>-1</v>
      </c>
      <c r="G37" s="18"/>
      <c r="H37" s="18"/>
      <c r="I37" s="18"/>
      <c r="J37" s="18"/>
      <c r="K37" s="19" t="s">
        <v>28</v>
      </c>
      <c r="L37" s="18"/>
      <c r="M37" s="18">
        <f>-1-1+2-2+2</f>
        <v>0</v>
      </c>
      <c r="O37" s="4"/>
      <c r="P37" s="4"/>
      <c r="Q37" s="3"/>
      <c r="R37" s="3"/>
      <c r="S37" s="3"/>
      <c r="T37" s="3"/>
      <c r="U37" s="3"/>
      <c r="V37" s="3"/>
    </row>
    <row r="38" spans="1:22">
      <c r="A38" s="15">
        <f>C38+D38+E38</f>
        <v>5</v>
      </c>
      <c r="B38" s="18" t="s">
        <v>48</v>
      </c>
      <c r="C38" s="18">
        <v>2</v>
      </c>
      <c r="D38" s="18">
        <v>3</v>
      </c>
      <c r="E38" s="18"/>
      <c r="F38" s="18">
        <f>C38-D38</f>
        <v>-1</v>
      </c>
      <c r="G38" s="18"/>
      <c r="H38" s="18"/>
      <c r="I38" s="18"/>
      <c r="J38" s="18"/>
      <c r="K38" s="18" t="s">
        <v>44</v>
      </c>
      <c r="L38" s="18"/>
      <c r="M38" s="18">
        <f>1+1-2-1-1</f>
        <v>-2</v>
      </c>
      <c r="O38" s="20"/>
      <c r="P38" s="20"/>
      <c r="Q38" s="3"/>
      <c r="R38" s="3"/>
      <c r="S38" s="3"/>
      <c r="T38" s="3"/>
      <c r="U38" s="3"/>
      <c r="V38" s="3"/>
    </row>
    <row r="39" spans="1:22">
      <c r="A39" s="15">
        <f>C39+D39+E39</f>
        <v>5</v>
      </c>
      <c r="B39" s="18" t="s">
        <v>49</v>
      </c>
      <c r="C39" s="18">
        <v>1</v>
      </c>
      <c r="D39" s="18">
        <v>4</v>
      </c>
      <c r="E39" s="18"/>
      <c r="F39" s="18">
        <f>C39-D39</f>
        <v>-3</v>
      </c>
      <c r="G39" s="18"/>
      <c r="H39" s="18"/>
      <c r="I39" s="18"/>
      <c r="J39" s="18"/>
      <c r="K39" s="19" t="s">
        <v>33</v>
      </c>
      <c r="L39" s="19"/>
      <c r="M39" s="19">
        <f>1-2-0-0-1</f>
        <v>-2</v>
      </c>
      <c r="N39" s="21"/>
      <c r="O39" s="20"/>
      <c r="P39" s="20"/>
      <c r="Q39" s="3"/>
      <c r="R39" s="3"/>
      <c r="S39" s="3"/>
      <c r="T39" s="3"/>
      <c r="U39" s="3"/>
      <c r="V39" s="3"/>
    </row>
    <row r="40" spans="1:22">
      <c r="A40" s="15">
        <f>C40+D40+E40</f>
        <v>4</v>
      </c>
      <c r="B40" s="18" t="s">
        <v>52</v>
      </c>
      <c r="C40" s="18">
        <v>3</v>
      </c>
      <c r="D40" s="18">
        <v>1</v>
      </c>
      <c r="E40" s="18"/>
      <c r="F40" s="18">
        <f>C40-D40</f>
        <v>2</v>
      </c>
      <c r="G40" s="18"/>
      <c r="H40" s="18">
        <v>1</v>
      </c>
      <c r="I40" s="18">
        <v>0</v>
      </c>
      <c r="J40" s="18"/>
      <c r="K40" s="19" t="s">
        <v>28</v>
      </c>
      <c r="L40" s="19">
        <f>2</f>
        <v>2</v>
      </c>
      <c r="M40" s="19">
        <f>1+3-1+2</f>
        <v>5</v>
      </c>
      <c r="O40" s="20">
        <f>76</f>
        <v>76</v>
      </c>
      <c r="P40" s="20">
        <f>77</f>
        <v>77</v>
      </c>
      <c r="Q40" s="3">
        <f>1</f>
        <v>1</v>
      </c>
      <c r="R40" s="3">
        <f>1</f>
        <v>1</v>
      </c>
      <c r="S40" s="3"/>
      <c r="T40" s="3"/>
      <c r="U40" s="3">
        <f>1.25</f>
        <v>1.25</v>
      </c>
      <c r="V40" s="3">
        <f>1</f>
        <v>1</v>
      </c>
    </row>
    <row r="41" spans="1:22">
      <c r="A41" s="15">
        <f t="shared" si="5"/>
        <v>4</v>
      </c>
      <c r="B41" s="18" t="s">
        <v>50</v>
      </c>
      <c r="C41" s="18">
        <v>3</v>
      </c>
      <c r="D41" s="18">
        <v>1</v>
      </c>
      <c r="E41" s="18"/>
      <c r="F41" s="18">
        <f t="shared" ref="F41:F50" si="7">C41-D41</f>
        <v>2</v>
      </c>
      <c r="G41" s="18"/>
      <c r="H41" s="18"/>
      <c r="I41" s="18"/>
      <c r="J41" s="18"/>
      <c r="K41" s="19" t="s">
        <v>24</v>
      </c>
      <c r="L41" s="19"/>
      <c r="M41" s="19">
        <f>-1-1+2+1</f>
        <v>1</v>
      </c>
      <c r="O41" s="20"/>
      <c r="P41" s="20"/>
      <c r="Q41" s="3"/>
      <c r="R41" s="3"/>
      <c r="S41" s="3"/>
      <c r="T41" s="3"/>
      <c r="U41" s="3"/>
      <c r="V41" s="3"/>
    </row>
    <row r="42" spans="1:22">
      <c r="A42" s="15">
        <f t="shared" si="5"/>
        <v>4</v>
      </c>
      <c r="B42" s="18" t="s">
        <v>51</v>
      </c>
      <c r="C42" s="18">
        <v>0</v>
      </c>
      <c r="D42" s="18">
        <v>4</v>
      </c>
      <c r="E42" s="16"/>
      <c r="F42" s="18">
        <f t="shared" si="7"/>
        <v>-4</v>
      </c>
      <c r="G42" s="18"/>
      <c r="H42" s="18"/>
      <c r="I42" s="18"/>
      <c r="J42" s="18"/>
      <c r="K42" s="19" t="s">
        <v>33</v>
      </c>
      <c r="L42" s="18"/>
      <c r="M42" s="18">
        <f>-1-0-0-1</f>
        <v>-2</v>
      </c>
      <c r="O42" s="20"/>
      <c r="P42" s="20"/>
      <c r="Q42" s="3"/>
      <c r="R42" s="3"/>
      <c r="S42" s="3"/>
      <c r="T42" s="3"/>
      <c r="U42" s="3"/>
      <c r="V42" s="3"/>
    </row>
    <row r="43" spans="1:22">
      <c r="A43" s="15">
        <f t="shared" si="5"/>
        <v>3</v>
      </c>
      <c r="B43" s="18" t="s">
        <v>53</v>
      </c>
      <c r="C43" s="18">
        <v>2</v>
      </c>
      <c r="D43" s="18">
        <v>1</v>
      </c>
      <c r="E43" s="16"/>
      <c r="F43" s="18">
        <f t="shared" si="7"/>
        <v>1</v>
      </c>
      <c r="G43" s="16"/>
      <c r="H43" s="18"/>
      <c r="I43" s="18"/>
      <c r="J43" s="16"/>
      <c r="K43" s="19" t="s">
        <v>31</v>
      </c>
      <c r="L43" s="19"/>
      <c r="M43" s="19">
        <f>1+1-1</f>
        <v>1</v>
      </c>
      <c r="O43" s="20"/>
      <c r="P43" s="20"/>
      <c r="Q43" s="3"/>
      <c r="R43" s="3"/>
      <c r="S43" s="3"/>
      <c r="T43" s="3"/>
      <c r="U43" s="3"/>
      <c r="V43" s="3"/>
    </row>
    <row r="44" spans="1:22">
      <c r="A44" s="15">
        <f t="shared" si="5"/>
        <v>3</v>
      </c>
      <c r="B44" s="18" t="s">
        <v>76</v>
      </c>
      <c r="C44" s="18">
        <v>2</v>
      </c>
      <c r="D44" s="18">
        <v>1</v>
      </c>
      <c r="E44" s="16"/>
      <c r="F44" s="18">
        <f t="shared" si="7"/>
        <v>1</v>
      </c>
      <c r="G44" s="16"/>
      <c r="H44" s="18">
        <v>2</v>
      </c>
      <c r="I44" s="18">
        <v>1</v>
      </c>
      <c r="J44" s="16"/>
      <c r="K44" s="19" t="s">
        <v>28</v>
      </c>
      <c r="L44" s="19">
        <f>2-3+1</f>
        <v>0</v>
      </c>
      <c r="M44" s="19">
        <f>2-3+1</f>
        <v>0</v>
      </c>
      <c r="O44" s="20">
        <f>(85+79+92)/3</f>
        <v>85.333333333333329</v>
      </c>
      <c r="P44" s="20">
        <f>(76+70+83)/3</f>
        <v>76.333333333333329</v>
      </c>
      <c r="Q44" s="3">
        <f>1+2+1</f>
        <v>4</v>
      </c>
      <c r="R44" s="3"/>
      <c r="S44" s="3">
        <f>1</f>
        <v>1</v>
      </c>
      <c r="T44" s="3"/>
      <c r="U44" s="3">
        <f>-0.5-0.75+7</f>
        <v>5.75</v>
      </c>
      <c r="V44" s="3">
        <f>2+1+7</f>
        <v>10</v>
      </c>
    </row>
    <row r="45" spans="1:22">
      <c r="A45" s="15">
        <f t="shared" si="5"/>
        <v>3</v>
      </c>
      <c r="B45" s="18" t="s">
        <v>56</v>
      </c>
      <c r="C45" s="18">
        <v>1</v>
      </c>
      <c r="D45" s="18">
        <v>2</v>
      </c>
      <c r="E45" s="18"/>
      <c r="F45" s="18">
        <f>C45-D45</f>
        <v>-1</v>
      </c>
      <c r="G45" s="18"/>
      <c r="H45" s="18">
        <v>0</v>
      </c>
      <c r="I45" s="18">
        <v>1</v>
      </c>
      <c r="J45" s="18"/>
      <c r="K45" s="18" t="s">
        <v>22</v>
      </c>
      <c r="L45" s="18">
        <f>-2</f>
        <v>-2</v>
      </c>
      <c r="M45" s="18">
        <f>1-2-2</f>
        <v>-3</v>
      </c>
      <c r="O45" s="20">
        <f>81</f>
        <v>81</v>
      </c>
      <c r="P45" s="20">
        <f>81</f>
        <v>81</v>
      </c>
      <c r="Q45" s="3"/>
      <c r="R45" s="3"/>
      <c r="S45" s="3"/>
      <c r="T45" s="3"/>
      <c r="U45" s="3">
        <f>6</f>
        <v>6</v>
      </c>
      <c r="V45" s="3">
        <f>3</f>
        <v>3</v>
      </c>
    </row>
    <row r="46" spans="1:22">
      <c r="A46" s="15">
        <f t="shared" si="5"/>
        <v>2</v>
      </c>
      <c r="B46" s="18" t="s">
        <v>54</v>
      </c>
      <c r="C46" s="18">
        <v>1</v>
      </c>
      <c r="D46" s="18">
        <v>1</v>
      </c>
      <c r="E46" s="16"/>
      <c r="F46" s="18">
        <f t="shared" si="7"/>
        <v>0</v>
      </c>
      <c r="G46" s="16"/>
      <c r="H46" s="18"/>
      <c r="I46" s="18"/>
      <c r="J46" s="16"/>
      <c r="K46" s="19" t="s">
        <v>28</v>
      </c>
      <c r="L46" s="19"/>
      <c r="M46" s="19">
        <f>-1+1</f>
        <v>0</v>
      </c>
      <c r="O46" s="20"/>
      <c r="P46" s="20"/>
      <c r="Q46" s="3"/>
      <c r="R46" s="3"/>
      <c r="S46" s="3"/>
      <c r="T46" s="3"/>
      <c r="U46" s="3"/>
      <c r="V46" s="3"/>
    </row>
    <row r="47" spans="1:22">
      <c r="A47" s="15">
        <f t="shared" si="5"/>
        <v>2</v>
      </c>
      <c r="B47" s="18" t="s">
        <v>77</v>
      </c>
      <c r="C47" s="18">
        <v>1</v>
      </c>
      <c r="D47" s="18">
        <v>1</v>
      </c>
      <c r="E47" s="16"/>
      <c r="F47" s="18">
        <f t="shared" si="7"/>
        <v>0</v>
      </c>
      <c r="G47" s="16"/>
      <c r="H47" s="18">
        <v>1</v>
      </c>
      <c r="I47" s="18">
        <v>1</v>
      </c>
      <c r="J47" s="16"/>
      <c r="K47" s="19" t="s">
        <v>28</v>
      </c>
      <c r="L47" s="19">
        <f>0+0</f>
        <v>0</v>
      </c>
      <c r="M47" s="19">
        <f>0+0</f>
        <v>0</v>
      </c>
      <c r="O47" s="20">
        <f>(83+81)/2</f>
        <v>82</v>
      </c>
      <c r="P47" s="20">
        <f>(74+72)/2</f>
        <v>73</v>
      </c>
      <c r="Q47" s="3">
        <f>1</f>
        <v>1</v>
      </c>
      <c r="R47" s="3"/>
      <c r="S47" s="3"/>
      <c r="T47" s="3"/>
      <c r="U47" s="3">
        <f>3.25-4</f>
        <v>-0.75</v>
      </c>
      <c r="V47" s="3">
        <f>3+2</f>
        <v>5</v>
      </c>
    </row>
    <row r="48" spans="1:22">
      <c r="A48" s="15">
        <f t="shared" si="5"/>
        <v>2</v>
      </c>
      <c r="B48" s="18" t="s">
        <v>55</v>
      </c>
      <c r="C48" s="18">
        <v>1</v>
      </c>
      <c r="D48" s="18">
        <v>1</v>
      </c>
      <c r="E48" s="18"/>
      <c r="F48" s="18">
        <f t="shared" si="7"/>
        <v>0</v>
      </c>
      <c r="G48" s="18"/>
      <c r="H48" s="18"/>
      <c r="I48" s="18"/>
      <c r="J48" s="18"/>
      <c r="K48" s="19" t="s">
        <v>31</v>
      </c>
      <c r="L48" s="19"/>
      <c r="M48" s="19">
        <f>1-1</f>
        <v>0</v>
      </c>
      <c r="O48" s="20"/>
      <c r="P48" s="20"/>
      <c r="Q48" s="3"/>
      <c r="R48" s="3"/>
      <c r="S48" s="3"/>
      <c r="T48" s="3"/>
      <c r="U48" s="3"/>
      <c r="V48" s="3"/>
    </row>
    <row r="49" spans="1:23">
      <c r="A49" s="15">
        <f t="shared" si="5"/>
        <v>1</v>
      </c>
      <c r="B49" s="18" t="s">
        <v>87</v>
      </c>
      <c r="C49" s="18">
        <v>1</v>
      </c>
      <c r="D49" s="18">
        <v>0</v>
      </c>
      <c r="E49" s="18"/>
      <c r="F49" s="18">
        <f t="shared" si="7"/>
        <v>1</v>
      </c>
      <c r="G49" s="18"/>
      <c r="H49" s="18">
        <v>1</v>
      </c>
      <c r="I49" s="18">
        <v>0</v>
      </c>
      <c r="J49" s="18"/>
      <c r="K49" s="19" t="s">
        <v>28</v>
      </c>
      <c r="L49" s="19">
        <f>2</f>
        <v>2</v>
      </c>
      <c r="M49" s="19">
        <f>2</f>
        <v>2</v>
      </c>
      <c r="O49" s="20">
        <f>68</f>
        <v>68</v>
      </c>
      <c r="P49" s="20">
        <f>69</f>
        <v>69</v>
      </c>
      <c r="Q49" s="3">
        <f>3</f>
        <v>3</v>
      </c>
      <c r="R49" s="3"/>
      <c r="S49" s="3"/>
      <c r="T49" s="3"/>
      <c r="U49" s="3">
        <f>-3.5</f>
        <v>-3.5</v>
      </c>
      <c r="V49" s="3"/>
    </row>
    <row r="50" spans="1:23" ht="15.75" thickBot="1">
      <c r="A50" s="15">
        <f t="shared" si="5"/>
        <v>1</v>
      </c>
      <c r="B50" s="18" t="s">
        <v>57</v>
      </c>
      <c r="C50" s="18">
        <v>1</v>
      </c>
      <c r="D50" s="18">
        <v>0</v>
      </c>
      <c r="E50" s="16"/>
      <c r="F50" s="18">
        <f t="shared" si="7"/>
        <v>1</v>
      </c>
      <c r="G50" s="16"/>
      <c r="H50" s="18"/>
      <c r="I50" s="18"/>
      <c r="J50" s="16"/>
      <c r="K50" s="19" t="s">
        <v>28</v>
      </c>
      <c r="L50" s="16"/>
      <c r="M50" s="18">
        <f>1</f>
        <v>1</v>
      </c>
      <c r="N50" s="21"/>
      <c r="O50" s="20"/>
      <c r="P50" s="20"/>
      <c r="Q50" s="3"/>
      <c r="R50" s="3"/>
      <c r="S50" s="3"/>
      <c r="T50" s="3"/>
      <c r="U50" s="3"/>
      <c r="V50" s="3"/>
    </row>
    <row r="51" spans="1:23">
      <c r="A51" s="15">
        <f t="shared" si="5"/>
        <v>1</v>
      </c>
      <c r="B51" s="18" t="s">
        <v>58</v>
      </c>
      <c r="C51" s="18">
        <v>0</v>
      </c>
      <c r="D51" s="18">
        <v>1</v>
      </c>
      <c r="E51" s="16"/>
      <c r="F51" s="18">
        <f t="shared" ref="F51:F57" si="8">C51-D51</f>
        <v>-1</v>
      </c>
      <c r="G51" s="16"/>
      <c r="H51" s="18"/>
      <c r="I51" s="18"/>
      <c r="J51" s="16"/>
      <c r="K51" s="19" t="s">
        <v>31</v>
      </c>
      <c r="L51" s="18"/>
      <c r="M51" s="18">
        <f>-1</f>
        <v>-1</v>
      </c>
      <c r="O51" s="20"/>
      <c r="P51" s="20"/>
      <c r="Q51" s="3"/>
      <c r="R51" s="3"/>
      <c r="S51" s="3"/>
      <c r="T51" s="3"/>
      <c r="U51" s="3"/>
      <c r="V51" s="3"/>
      <c r="W51" s="22" t="s">
        <v>59</v>
      </c>
    </row>
    <row r="52" spans="1:23">
      <c r="A52" s="15">
        <f t="shared" si="5"/>
        <v>1</v>
      </c>
      <c r="B52" s="18" t="s">
        <v>60</v>
      </c>
      <c r="C52" s="18">
        <v>0</v>
      </c>
      <c r="D52" s="18">
        <v>1</v>
      </c>
      <c r="E52" s="18"/>
      <c r="F52" s="18">
        <f t="shared" si="8"/>
        <v>-1</v>
      </c>
      <c r="G52" s="18"/>
      <c r="H52" s="18"/>
      <c r="I52" s="18"/>
      <c r="J52" s="18"/>
      <c r="K52" s="19" t="s">
        <v>22</v>
      </c>
      <c r="L52" s="18"/>
      <c r="M52" s="18">
        <f>-1</f>
        <v>-1</v>
      </c>
      <c r="O52" s="20"/>
      <c r="P52" s="20"/>
      <c r="Q52" s="3"/>
      <c r="R52" s="3"/>
      <c r="S52" s="3"/>
      <c r="T52" s="3"/>
      <c r="U52" s="3"/>
      <c r="V52" s="3"/>
      <c r="W52" s="23" t="s">
        <v>111</v>
      </c>
    </row>
    <row r="53" spans="1:23" ht="15.75" thickBot="1">
      <c r="A53" s="15">
        <f t="shared" si="5"/>
        <v>1</v>
      </c>
      <c r="B53" s="18" t="s">
        <v>61</v>
      </c>
      <c r="C53" s="18">
        <v>0</v>
      </c>
      <c r="D53" s="18">
        <v>1</v>
      </c>
      <c r="E53" s="18"/>
      <c r="F53" s="18">
        <f t="shared" si="8"/>
        <v>-1</v>
      </c>
      <c r="G53" s="18"/>
      <c r="H53" s="18"/>
      <c r="I53" s="18"/>
      <c r="J53" s="18"/>
      <c r="K53" s="19" t="s">
        <v>31</v>
      </c>
      <c r="L53" s="18"/>
      <c r="M53" s="18">
        <f>-2</f>
        <v>-2</v>
      </c>
      <c r="O53" s="20"/>
      <c r="P53" s="20"/>
      <c r="Q53" s="3"/>
      <c r="R53" s="3"/>
      <c r="S53" s="3"/>
      <c r="T53" s="3"/>
      <c r="U53" s="3"/>
      <c r="V53" s="3"/>
      <c r="W53" s="24" t="s">
        <v>62</v>
      </c>
    </row>
    <row r="54" spans="1:23">
      <c r="A54" s="15">
        <f t="shared" si="5"/>
        <v>1</v>
      </c>
      <c r="B54" s="18" t="s">
        <v>63</v>
      </c>
      <c r="C54" s="18">
        <v>0</v>
      </c>
      <c r="D54" s="18">
        <v>1</v>
      </c>
      <c r="E54" s="18"/>
      <c r="F54" s="18">
        <f t="shared" si="8"/>
        <v>-1</v>
      </c>
      <c r="G54" s="18"/>
      <c r="H54" s="18"/>
      <c r="I54" s="18"/>
      <c r="J54" s="18"/>
      <c r="K54" s="19" t="s">
        <v>22</v>
      </c>
      <c r="L54" s="18"/>
      <c r="M54" s="18">
        <f>0</f>
        <v>0</v>
      </c>
      <c r="O54" s="20"/>
      <c r="P54" s="20"/>
      <c r="Q54" s="3"/>
      <c r="R54" s="3"/>
      <c r="S54" s="3"/>
      <c r="T54" s="3"/>
      <c r="U54" s="3"/>
      <c r="V54" s="3"/>
      <c r="W54" s="22" t="s">
        <v>64</v>
      </c>
    </row>
    <row r="55" spans="1:23">
      <c r="A55" s="15">
        <f t="shared" si="5"/>
        <v>1</v>
      </c>
      <c r="B55" s="18" t="s">
        <v>65</v>
      </c>
      <c r="C55" s="18">
        <v>0</v>
      </c>
      <c r="D55" s="18">
        <v>1</v>
      </c>
      <c r="E55" s="18"/>
      <c r="F55" s="18">
        <f t="shared" si="8"/>
        <v>-1</v>
      </c>
      <c r="G55" s="18"/>
      <c r="H55" s="18"/>
      <c r="I55" s="18"/>
      <c r="J55" s="18"/>
      <c r="K55" s="19" t="s">
        <v>31</v>
      </c>
      <c r="L55" s="18"/>
      <c r="M55" s="18">
        <f>-1</f>
        <v>-1</v>
      </c>
      <c r="O55" s="4"/>
      <c r="P55" s="4"/>
      <c r="Q55" s="3"/>
      <c r="R55" s="3"/>
      <c r="S55" s="3"/>
      <c r="T55" s="3"/>
      <c r="U55" s="3"/>
      <c r="V55" s="3"/>
      <c r="W55" s="25" t="s">
        <v>66</v>
      </c>
    </row>
    <row r="56" spans="1:23" ht="15.75" thickBot="1">
      <c r="A56" s="15">
        <f t="shared" si="5"/>
        <v>1</v>
      </c>
      <c r="B56" s="18" t="s">
        <v>115</v>
      </c>
      <c r="C56" s="18">
        <v>0</v>
      </c>
      <c r="D56" s="18">
        <v>1</v>
      </c>
      <c r="E56" s="18"/>
      <c r="F56" s="18">
        <f t="shared" si="8"/>
        <v>-1</v>
      </c>
      <c r="G56" s="18"/>
      <c r="H56" s="18">
        <v>0</v>
      </c>
      <c r="I56" s="18">
        <v>1</v>
      </c>
      <c r="J56" s="18"/>
      <c r="K56" s="19" t="s">
        <v>31</v>
      </c>
      <c r="L56" s="18">
        <f>-1</f>
        <v>-1</v>
      </c>
      <c r="M56" s="18">
        <f>-1</f>
        <v>-1</v>
      </c>
      <c r="O56" s="4">
        <f>74</f>
        <v>74</v>
      </c>
      <c r="P56" s="4">
        <f>73</f>
        <v>73</v>
      </c>
      <c r="Q56" s="3">
        <f>3</f>
        <v>3</v>
      </c>
      <c r="R56" s="3">
        <f>1</f>
        <v>1</v>
      </c>
      <c r="S56" s="3"/>
      <c r="T56" s="3"/>
      <c r="U56" s="3">
        <f>3.75</f>
        <v>3.75</v>
      </c>
      <c r="V56" s="3"/>
      <c r="W56" s="24" t="s">
        <v>67</v>
      </c>
    </row>
    <row r="57" spans="1:23">
      <c r="A57" s="15">
        <f t="shared" si="5"/>
        <v>1</v>
      </c>
      <c r="B57" s="18" t="s">
        <v>112</v>
      </c>
      <c r="C57" s="18">
        <v>0</v>
      </c>
      <c r="D57" s="18">
        <v>1</v>
      </c>
      <c r="E57" s="18"/>
      <c r="F57" s="18">
        <f t="shared" si="8"/>
        <v>-1</v>
      </c>
      <c r="G57" s="18"/>
      <c r="H57" s="18">
        <v>0</v>
      </c>
      <c r="I57" s="18">
        <v>1</v>
      </c>
      <c r="J57" s="18"/>
      <c r="K57" s="19" t="s">
        <v>31</v>
      </c>
      <c r="L57" s="18">
        <f>-1</f>
        <v>-1</v>
      </c>
      <c r="M57" s="18">
        <f>-1</f>
        <v>-1</v>
      </c>
      <c r="O57" s="4">
        <f>81</f>
        <v>81</v>
      </c>
      <c r="P57" s="4">
        <f>74</f>
        <v>74</v>
      </c>
      <c r="Q57" s="3"/>
      <c r="R57" s="3"/>
      <c r="S57" s="3"/>
      <c r="T57" s="3"/>
      <c r="U57" s="3">
        <f>3</f>
        <v>3</v>
      </c>
      <c r="V57" s="3"/>
    </row>
    <row r="58" spans="1:23">
      <c r="A58" s="15">
        <f t="shared" ref="A58:A64" si="9">C58+D58+E58</f>
        <v>1</v>
      </c>
      <c r="B58" s="18" t="s">
        <v>73</v>
      </c>
      <c r="C58" s="18">
        <v>0</v>
      </c>
      <c r="D58" s="18">
        <v>1</v>
      </c>
      <c r="E58" s="18"/>
      <c r="F58" s="18">
        <f>C58-D58</f>
        <v>-1</v>
      </c>
      <c r="G58" s="18"/>
      <c r="H58" s="18">
        <v>0</v>
      </c>
      <c r="I58" s="18">
        <v>1</v>
      </c>
      <c r="J58" s="18"/>
      <c r="K58" s="18" t="s">
        <v>31</v>
      </c>
      <c r="L58" s="19">
        <f t="shared" ref="L58:M60" si="10">-2</f>
        <v>-2</v>
      </c>
      <c r="M58" s="19">
        <f t="shared" si="10"/>
        <v>-2</v>
      </c>
      <c r="O58" s="4">
        <f>95</f>
        <v>95</v>
      </c>
      <c r="P58" s="4">
        <f>82</f>
        <v>82</v>
      </c>
      <c r="Q58" s="3"/>
      <c r="R58" s="3"/>
      <c r="S58" s="3"/>
      <c r="T58" s="3"/>
      <c r="U58" s="3">
        <f>5.5</f>
        <v>5.5</v>
      </c>
      <c r="V58" s="3">
        <f>5</f>
        <v>5</v>
      </c>
      <c r="W58" s="26"/>
    </row>
    <row r="59" spans="1:23">
      <c r="A59" s="15">
        <f t="shared" si="9"/>
        <v>1</v>
      </c>
      <c r="B59" s="18" t="s">
        <v>85</v>
      </c>
      <c r="C59" s="18">
        <v>0</v>
      </c>
      <c r="D59" s="18">
        <v>1</v>
      </c>
      <c r="E59" s="18"/>
      <c r="F59" s="18">
        <f>C59-D59</f>
        <v>-1</v>
      </c>
      <c r="G59" s="18"/>
      <c r="H59" s="18">
        <v>0</v>
      </c>
      <c r="I59" s="18">
        <v>1</v>
      </c>
      <c r="J59" s="18"/>
      <c r="K59" s="19" t="s">
        <v>22</v>
      </c>
      <c r="L59" s="18">
        <f t="shared" si="10"/>
        <v>-2</v>
      </c>
      <c r="M59" s="18">
        <f t="shared" si="10"/>
        <v>-2</v>
      </c>
      <c r="O59" s="4">
        <f>84</f>
        <v>84</v>
      </c>
      <c r="P59" s="4">
        <f>78</f>
        <v>78</v>
      </c>
      <c r="Q59" s="3"/>
      <c r="R59" s="3"/>
      <c r="S59" s="3">
        <f>1</f>
        <v>1</v>
      </c>
      <c r="T59" s="3"/>
      <c r="U59" s="3">
        <f>5.5</f>
        <v>5.5</v>
      </c>
      <c r="V59" s="3">
        <f>4</f>
        <v>4</v>
      </c>
      <c r="W59" s="26"/>
    </row>
    <row r="60" spans="1:23">
      <c r="A60" s="15">
        <f t="shared" si="9"/>
        <v>1</v>
      </c>
      <c r="B60" s="18" t="s">
        <v>86</v>
      </c>
      <c r="C60" s="18">
        <v>0</v>
      </c>
      <c r="D60" s="18">
        <v>1</v>
      </c>
      <c r="E60" s="18"/>
      <c r="F60" s="18">
        <f>C60-D60</f>
        <v>-1</v>
      </c>
      <c r="G60" s="18"/>
      <c r="H60" s="18">
        <v>0</v>
      </c>
      <c r="I60" s="18">
        <v>1</v>
      </c>
      <c r="J60" s="18"/>
      <c r="K60" s="19" t="s">
        <v>22</v>
      </c>
      <c r="L60" s="18">
        <f t="shared" si="10"/>
        <v>-2</v>
      </c>
      <c r="M60" s="18">
        <f t="shared" si="10"/>
        <v>-2</v>
      </c>
      <c r="O60" s="4">
        <f>82</f>
        <v>82</v>
      </c>
      <c r="P60" s="4">
        <f>75</f>
        <v>75</v>
      </c>
      <c r="Q60" s="3">
        <f>1</f>
        <v>1</v>
      </c>
      <c r="R60" s="3"/>
      <c r="S60" s="3">
        <f>1</f>
        <v>1</v>
      </c>
      <c r="T60" s="3"/>
      <c r="U60" s="3">
        <f>2.5</f>
        <v>2.5</v>
      </c>
      <c r="V60" s="3">
        <f>2</f>
        <v>2</v>
      </c>
      <c r="W60" s="26"/>
    </row>
    <row r="61" spans="1:23">
      <c r="A61" s="15">
        <f t="shared" si="9"/>
        <v>0</v>
      </c>
      <c r="B61" s="18" t="s">
        <v>70</v>
      </c>
      <c r="C61" s="18"/>
      <c r="D61" s="18"/>
      <c r="E61" s="18"/>
      <c r="F61" s="18">
        <f t="shared" ref="F61:F62" si="11">C61-D61</f>
        <v>0</v>
      </c>
      <c r="G61" s="18"/>
      <c r="H61" s="18"/>
      <c r="I61" s="18"/>
      <c r="J61" s="18"/>
      <c r="K61" s="19" t="s">
        <v>31</v>
      </c>
      <c r="L61" s="19"/>
      <c r="M61" s="19"/>
      <c r="O61" s="4"/>
      <c r="P61" s="4"/>
      <c r="Q61" s="3"/>
      <c r="R61" s="3"/>
      <c r="S61" s="3"/>
      <c r="T61" s="3"/>
      <c r="U61" s="3"/>
      <c r="V61" s="3"/>
      <c r="W61" s="26"/>
    </row>
    <row r="62" spans="1:23">
      <c r="A62" s="15">
        <f t="shared" si="9"/>
        <v>0</v>
      </c>
      <c r="B62" s="18" t="s">
        <v>71</v>
      </c>
      <c r="C62" s="18"/>
      <c r="D62" s="18"/>
      <c r="E62" s="18"/>
      <c r="F62" s="18">
        <f t="shared" si="11"/>
        <v>0</v>
      </c>
      <c r="G62" s="18"/>
      <c r="H62" s="18"/>
      <c r="I62" s="18"/>
      <c r="J62" s="18"/>
      <c r="K62" s="19" t="s">
        <v>31</v>
      </c>
      <c r="L62" s="19"/>
      <c r="M62" s="19"/>
      <c r="O62" s="4"/>
      <c r="P62" s="4"/>
      <c r="Q62" s="3"/>
      <c r="R62" s="3"/>
      <c r="S62" s="3"/>
      <c r="T62" s="3"/>
      <c r="U62" s="3"/>
      <c r="V62" s="3"/>
      <c r="W62" s="26"/>
    </row>
    <row r="63" spans="1:23">
      <c r="A63" s="15">
        <f t="shared" si="9"/>
        <v>0</v>
      </c>
      <c r="B63" s="18" t="s">
        <v>68</v>
      </c>
      <c r="C63" s="18"/>
      <c r="D63" s="18"/>
      <c r="E63" s="18"/>
      <c r="F63" s="18">
        <f>C63-D63</f>
        <v>0</v>
      </c>
      <c r="G63" s="18"/>
      <c r="H63" s="18"/>
      <c r="I63" s="18"/>
      <c r="J63" s="18"/>
      <c r="K63" s="19" t="s">
        <v>24</v>
      </c>
      <c r="L63" s="19"/>
      <c r="M63" s="16"/>
      <c r="O63" s="4"/>
      <c r="P63" s="4"/>
      <c r="Q63" s="3"/>
      <c r="R63" s="3"/>
      <c r="S63" s="3"/>
      <c r="T63" s="3"/>
      <c r="U63" s="3"/>
      <c r="V63" s="3"/>
    </row>
    <row r="64" spans="1:23">
      <c r="A64" s="15">
        <f t="shared" si="9"/>
        <v>0</v>
      </c>
      <c r="B64" s="18" t="s">
        <v>69</v>
      </c>
      <c r="C64" s="18"/>
      <c r="D64" s="18"/>
      <c r="E64" s="16"/>
      <c r="F64" s="18">
        <f>C64-D64</f>
        <v>0</v>
      </c>
      <c r="G64" s="18"/>
      <c r="H64" s="18"/>
      <c r="I64" s="18"/>
      <c r="J64" s="16"/>
      <c r="K64" s="19" t="s">
        <v>22</v>
      </c>
      <c r="L64" s="19"/>
      <c r="M64" s="19"/>
      <c r="O64" s="4"/>
      <c r="P64" s="4"/>
      <c r="Q64" s="3"/>
      <c r="R64" s="3"/>
      <c r="S64" s="3"/>
      <c r="T64" s="3"/>
      <c r="U64" s="3"/>
      <c r="V64" s="3"/>
    </row>
    <row r="65" spans="1:22">
      <c r="O65" s="4"/>
      <c r="P65" s="4"/>
      <c r="Q65" s="3"/>
      <c r="R65" s="3"/>
      <c r="S65" s="3"/>
      <c r="T65" s="3"/>
      <c r="U65" s="3"/>
      <c r="V65" s="3"/>
    </row>
    <row r="66" spans="1:22">
      <c r="O66" s="4"/>
      <c r="P66" s="4"/>
      <c r="Q66" s="3"/>
      <c r="R66" s="3"/>
      <c r="S66" s="3"/>
      <c r="T66" s="3"/>
      <c r="U66" s="3"/>
      <c r="V66" s="3"/>
    </row>
    <row r="67" spans="1:22">
      <c r="O67" s="4"/>
      <c r="P67" s="4"/>
      <c r="Q67" s="3"/>
      <c r="R67" s="3"/>
      <c r="S67" s="3"/>
      <c r="T67" s="3"/>
      <c r="U67" s="3"/>
      <c r="V67" s="3"/>
    </row>
    <row r="68" spans="1:22">
      <c r="O68" s="4"/>
      <c r="P68" s="4"/>
      <c r="Q68" s="3"/>
      <c r="R68" s="3"/>
      <c r="S68" s="3"/>
      <c r="T68" s="3"/>
      <c r="U68" s="3"/>
      <c r="V68" s="3"/>
    </row>
    <row r="70" spans="1:22">
      <c r="C70" s="27">
        <f>SUM(C5:C66)</f>
        <v>230</v>
      </c>
      <c r="D70" s="27">
        <f t="shared" ref="D70:M70" si="12">SUM(D5:D66)</f>
        <v>230</v>
      </c>
      <c r="E70" s="27">
        <f>SUM(E5:E66)</f>
        <v>4</v>
      </c>
      <c r="F70" s="27">
        <f t="shared" si="12"/>
        <v>0</v>
      </c>
      <c r="G70" s="27"/>
      <c r="H70" s="27">
        <f t="shared" si="12"/>
        <v>52</v>
      </c>
      <c r="I70" s="27">
        <f t="shared" si="12"/>
        <v>52</v>
      </c>
      <c r="J70" s="27">
        <f t="shared" si="12"/>
        <v>4</v>
      </c>
      <c r="K70" s="27"/>
      <c r="L70" s="27">
        <f t="shared" si="12"/>
        <v>0</v>
      </c>
      <c r="M70" s="27">
        <f t="shared" si="12"/>
        <v>0</v>
      </c>
      <c r="O70" s="28"/>
      <c r="P70" s="28"/>
      <c r="Q70" s="27">
        <f t="shared" ref="Q70:V70" si="13">SUM(Q5:Q65)</f>
        <v>165</v>
      </c>
      <c r="R70" s="27">
        <f t="shared" si="13"/>
        <v>18</v>
      </c>
      <c r="S70" s="27">
        <f t="shared" si="13"/>
        <v>28</v>
      </c>
      <c r="T70" s="27">
        <f t="shared" si="13"/>
        <v>2</v>
      </c>
      <c r="U70" s="27">
        <f t="shared" si="13"/>
        <v>0</v>
      </c>
      <c r="V70" s="27">
        <f t="shared" si="13"/>
        <v>190</v>
      </c>
    </row>
    <row r="71" spans="1:22">
      <c r="O71" s="28"/>
      <c r="P71" s="28"/>
    </row>
    <row r="72" spans="1:22">
      <c r="A72" s="1" t="s">
        <v>74</v>
      </c>
      <c r="B72" s="12" t="s">
        <v>75</v>
      </c>
      <c r="O72" s="28"/>
      <c r="P72" s="28"/>
    </row>
    <row r="73" spans="1:22">
      <c r="A73" s="1" t="s">
        <v>74</v>
      </c>
      <c r="B73" s="12" t="s">
        <v>80</v>
      </c>
      <c r="O73" s="28"/>
      <c r="P73" s="28"/>
    </row>
    <row r="74" spans="1:22">
      <c r="A74" s="1" t="s">
        <v>74</v>
      </c>
      <c r="B74" s="21" t="s">
        <v>79</v>
      </c>
      <c r="O74" s="28"/>
      <c r="P74" s="28"/>
    </row>
    <row r="75" spans="1:22">
      <c r="A75" s="1" t="s">
        <v>74</v>
      </c>
      <c r="B75" s="21" t="s">
        <v>78</v>
      </c>
      <c r="O75" s="28"/>
      <c r="P75" s="28"/>
    </row>
    <row r="76" spans="1:22">
      <c r="A76" s="1" t="s">
        <v>74</v>
      </c>
      <c r="B76" s="21" t="s">
        <v>81</v>
      </c>
      <c r="O76" s="28"/>
      <c r="P76" s="28"/>
    </row>
    <row r="77" spans="1:22">
      <c r="A77" s="1" t="s">
        <v>82</v>
      </c>
      <c r="B77" s="21" t="s">
        <v>83</v>
      </c>
      <c r="O77" s="28"/>
      <c r="P77" s="28"/>
    </row>
    <row r="78" spans="1:22">
      <c r="A78" s="1" t="s">
        <v>74</v>
      </c>
      <c r="B78" s="21" t="s">
        <v>84</v>
      </c>
      <c r="O78" s="28"/>
      <c r="P78" s="28"/>
    </row>
    <row r="79" spans="1:22">
      <c r="A79" s="1" t="s">
        <v>88</v>
      </c>
      <c r="B79" s="21" t="s">
        <v>89</v>
      </c>
      <c r="O79" s="28"/>
      <c r="P79" s="28"/>
    </row>
    <row r="80" spans="1:22">
      <c r="A80" s="1" t="s">
        <v>98</v>
      </c>
      <c r="B80" s="21" t="s">
        <v>99</v>
      </c>
      <c r="O80" s="28"/>
      <c r="P80" s="28"/>
    </row>
    <row r="81" spans="2:21">
      <c r="B81" s="21"/>
      <c r="O81" s="29"/>
      <c r="P81" s="29"/>
    </row>
    <row r="82" spans="2:21">
      <c r="B82" s="21"/>
      <c r="O82" s="29"/>
      <c r="P82" s="29"/>
    </row>
    <row r="83" spans="2:21">
      <c r="B83" s="21"/>
      <c r="O83" s="28"/>
      <c r="P83" s="28"/>
    </row>
    <row r="84" spans="2:21">
      <c r="O84" s="28"/>
      <c r="P84" s="28"/>
    </row>
    <row r="85" spans="2:21">
      <c r="O85" s="28"/>
      <c r="P85" s="28"/>
    </row>
    <row r="86" spans="2:21">
      <c r="O86" s="28"/>
      <c r="P86" s="28"/>
    </row>
    <row r="87" spans="2:21">
      <c r="O87" s="28"/>
      <c r="P87" s="28"/>
    </row>
    <row r="88" spans="2:21">
      <c r="O88" s="28"/>
      <c r="P88" s="28"/>
    </row>
    <row r="89" spans="2:21">
      <c r="O89" s="28"/>
      <c r="P89" s="28"/>
    </row>
    <row r="90" spans="2:21">
      <c r="O90" s="29"/>
      <c r="P90" s="30"/>
    </row>
    <row r="91" spans="2:21">
      <c r="O91" s="29"/>
      <c r="P91" s="29"/>
    </row>
    <row r="92" spans="2:21">
      <c r="Q92" s="27"/>
      <c r="R92" s="27"/>
      <c r="S92" s="27"/>
      <c r="T92" s="27"/>
      <c r="U92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RCMP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johough</cp:lastModifiedBy>
  <dcterms:created xsi:type="dcterms:W3CDTF">2016-08-01T13:43:30Z</dcterms:created>
  <dcterms:modified xsi:type="dcterms:W3CDTF">2016-09-01T15:09:29Z</dcterms:modified>
</cp:coreProperties>
</file>