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1015" windowHeight="10755"/>
  </bookViews>
  <sheets>
    <sheet name="2015 Standings  " sheetId="1" r:id="rId1"/>
  </sheets>
  <calcPr calcId="125725"/>
</workbook>
</file>

<file path=xl/calcChain.xml><?xml version="1.0" encoding="utf-8"?>
<calcChain xmlns="http://schemas.openxmlformats.org/spreadsheetml/2006/main">
  <c r="V11" i="1"/>
  <c r="Q5"/>
  <c r="Q11"/>
  <c r="Q9"/>
  <c r="Q6"/>
  <c r="R11"/>
  <c r="R9"/>
  <c r="R6"/>
  <c r="R5"/>
  <c r="P5"/>
  <c r="O5"/>
  <c r="P11"/>
  <c r="O11"/>
  <c r="P9"/>
  <c r="O9"/>
  <c r="P6"/>
  <c r="O6"/>
  <c r="M11"/>
  <c r="L11"/>
  <c r="M9"/>
  <c r="L9"/>
  <c r="M6"/>
  <c r="L6"/>
  <c r="M5"/>
  <c r="L5"/>
  <c r="U21"/>
  <c r="U63"/>
  <c r="U11"/>
  <c r="U6"/>
  <c r="V21"/>
  <c r="V63"/>
  <c r="V6"/>
  <c r="Q63"/>
  <c r="Q21"/>
  <c r="S63"/>
  <c r="S21"/>
  <c r="P21"/>
  <c r="O21"/>
  <c r="P63"/>
  <c r="O63"/>
  <c r="O7"/>
  <c r="U17"/>
  <c r="U7"/>
  <c r="U36"/>
  <c r="U8"/>
  <c r="V17"/>
  <c r="V36"/>
  <c r="V8"/>
  <c r="Q17"/>
  <c r="Q36"/>
  <c r="Q8"/>
  <c r="S36"/>
  <c r="S8"/>
  <c r="P17"/>
  <c r="O17"/>
  <c r="P7"/>
  <c r="P36"/>
  <c r="O36"/>
  <c r="P8"/>
  <c r="O8"/>
  <c r="U19"/>
  <c r="U51"/>
  <c r="U5"/>
  <c r="V19"/>
  <c r="V51"/>
  <c r="V5"/>
  <c r="S19"/>
  <c r="S51"/>
  <c r="R36"/>
  <c r="P19"/>
  <c r="O19"/>
  <c r="P51"/>
  <c r="O51"/>
  <c r="M51"/>
  <c r="L51"/>
  <c r="M36"/>
  <c r="L36"/>
  <c r="M19"/>
  <c r="L19"/>
  <c r="M63"/>
  <c r="L63"/>
  <c r="A63"/>
  <c r="F63"/>
  <c r="M21"/>
  <c r="L21"/>
  <c r="M17"/>
  <c r="L17"/>
  <c r="M8"/>
  <c r="L8"/>
  <c r="M7"/>
  <c r="L7"/>
  <c r="U12"/>
  <c r="U15"/>
  <c r="U38"/>
  <c r="U10"/>
  <c r="Q15"/>
  <c r="Q10"/>
  <c r="V15"/>
  <c r="V10"/>
  <c r="P38"/>
  <c r="O38"/>
  <c r="P10"/>
  <c r="O10"/>
  <c r="P15"/>
  <c r="O15"/>
  <c r="P12"/>
  <c r="O12"/>
  <c r="U14"/>
  <c r="U20"/>
  <c r="V20"/>
  <c r="Q20"/>
  <c r="Q14"/>
  <c r="R14"/>
  <c r="R15"/>
  <c r="R20"/>
  <c r="P20"/>
  <c r="O20"/>
  <c r="P14"/>
  <c r="O14"/>
  <c r="M20"/>
  <c r="L20"/>
  <c r="M15"/>
  <c r="L15"/>
  <c r="M14"/>
  <c r="L14"/>
  <c r="M38"/>
  <c r="L38"/>
  <c r="M12"/>
  <c r="L12"/>
  <c r="M10"/>
  <c r="L10"/>
  <c r="U35"/>
  <c r="V35"/>
  <c r="Q35"/>
  <c r="Q7"/>
  <c r="R7"/>
  <c r="S35"/>
  <c r="P35"/>
  <c r="O35"/>
  <c r="M35"/>
  <c r="L35"/>
  <c r="V14"/>
  <c r="V7"/>
  <c r="S7"/>
  <c r="V12"/>
  <c r="R8"/>
  <c r="R10"/>
  <c r="U13"/>
  <c r="V13"/>
  <c r="Q13"/>
  <c r="P13"/>
  <c r="O13"/>
  <c r="U18"/>
  <c r="V18"/>
  <c r="P18"/>
  <c r="O18"/>
  <c r="U62"/>
  <c r="V62"/>
  <c r="Q62"/>
  <c r="S11"/>
  <c r="S62"/>
  <c r="P62"/>
  <c r="O62"/>
  <c r="Q12"/>
  <c r="R12"/>
  <c r="M62"/>
  <c r="L62"/>
  <c r="M18"/>
  <c r="L18"/>
  <c r="M13"/>
  <c r="L13"/>
  <c r="V9"/>
  <c r="Q18"/>
  <c r="S9"/>
  <c r="S18"/>
  <c r="R18"/>
  <c r="U16"/>
  <c r="U44"/>
  <c r="V16"/>
  <c r="M44"/>
  <c r="L44"/>
  <c r="P44"/>
  <c r="O44"/>
  <c r="V44"/>
  <c r="Q19"/>
  <c r="Q44"/>
  <c r="P16"/>
  <c r="O16"/>
  <c r="M16"/>
  <c r="L16"/>
  <c r="T68"/>
  <c r="J68"/>
  <c r="I68"/>
  <c r="H68"/>
  <c r="E68"/>
  <c r="D68"/>
  <c r="C68"/>
  <c r="F62"/>
  <c r="A62"/>
  <c r="M61"/>
  <c r="F61"/>
  <c r="A61"/>
  <c r="F51"/>
  <c r="A51"/>
  <c r="M60"/>
  <c r="F60"/>
  <c r="A60"/>
  <c r="M59"/>
  <c r="F59"/>
  <c r="A59"/>
  <c r="M58"/>
  <c r="F58"/>
  <c r="A58"/>
  <c r="M57"/>
  <c r="F57"/>
  <c r="A57"/>
  <c r="M56"/>
  <c r="F56"/>
  <c r="A56"/>
  <c r="M55"/>
  <c r="F55"/>
  <c r="A55"/>
  <c r="M54"/>
  <c r="F54"/>
  <c r="A54"/>
  <c r="M53"/>
  <c r="F53"/>
  <c r="A53"/>
  <c r="M52"/>
  <c r="F52"/>
  <c r="A52"/>
  <c r="M50"/>
  <c r="F50"/>
  <c r="A50"/>
  <c r="M49"/>
  <c r="F49"/>
  <c r="A49"/>
  <c r="M48"/>
  <c r="F48"/>
  <c r="A48"/>
  <c r="M47"/>
  <c r="F47"/>
  <c r="A47"/>
  <c r="M46"/>
  <c r="F46"/>
  <c r="A46"/>
  <c r="M45"/>
  <c r="F45"/>
  <c r="A45"/>
  <c r="F44"/>
  <c r="A44"/>
  <c r="M43"/>
  <c r="F43"/>
  <c r="A43"/>
  <c r="M42"/>
  <c r="F42"/>
  <c r="A42"/>
  <c r="M41"/>
  <c r="F41"/>
  <c r="A41"/>
  <c r="M40"/>
  <c r="F40"/>
  <c r="A40"/>
  <c r="F38"/>
  <c r="A38"/>
  <c r="M39"/>
  <c r="F39"/>
  <c r="A39"/>
  <c r="F36"/>
  <c r="A36"/>
  <c r="M37"/>
  <c r="F37"/>
  <c r="A37"/>
  <c r="F19"/>
  <c r="F35"/>
  <c r="A35"/>
  <c r="F21"/>
  <c r="F20"/>
  <c r="F18"/>
  <c r="F16"/>
  <c r="F17"/>
  <c r="F14"/>
  <c r="F15"/>
  <c r="F11"/>
  <c r="F13"/>
  <c r="F12"/>
  <c r="F8"/>
  <c r="F9"/>
  <c r="F10"/>
  <c r="F6"/>
  <c r="F7"/>
  <c r="F5"/>
  <c r="U68" l="1"/>
  <c r="S68"/>
  <c r="R68"/>
  <c r="V68"/>
  <c r="Q68"/>
  <c r="L68"/>
  <c r="M68"/>
  <c r="F68"/>
</calcChain>
</file>

<file path=xl/sharedStrings.xml><?xml version="1.0" encoding="utf-8"?>
<sst xmlns="http://schemas.openxmlformats.org/spreadsheetml/2006/main" count="164" uniqueCount="117">
  <si>
    <t>Overall Standings</t>
  </si>
  <si>
    <t>Ties</t>
  </si>
  <si>
    <t>Current Month</t>
  </si>
  <si>
    <t>Current Month avg score</t>
  </si>
  <si>
    <t>Birdies</t>
  </si>
  <si>
    <t>GH</t>
  </si>
  <si>
    <t>BH</t>
  </si>
  <si>
    <t>Flaps</t>
  </si>
  <si>
    <t>HD</t>
  </si>
  <si>
    <t>Doubs</t>
  </si>
  <si>
    <t>Crooked Tree Rounds - month</t>
  </si>
  <si>
    <t>Ugly Tree Rounds</t>
  </si>
  <si>
    <t>C. Streak</t>
  </si>
  <si>
    <t>Beers - M</t>
  </si>
  <si>
    <t>BEERS year</t>
  </si>
  <si>
    <t>gross</t>
  </si>
  <si>
    <t>net</t>
  </si>
  <si>
    <t>Gross</t>
  </si>
  <si>
    <t>Net</t>
  </si>
  <si>
    <t>Eel</t>
  </si>
  <si>
    <t>Owl</t>
  </si>
  <si>
    <t>1L</t>
  </si>
  <si>
    <t>Eagle</t>
  </si>
  <si>
    <t>Yorkie</t>
  </si>
  <si>
    <t>Ram</t>
  </si>
  <si>
    <t>Slug</t>
  </si>
  <si>
    <t>Hamster</t>
  </si>
  <si>
    <t>Hound</t>
  </si>
  <si>
    <t>Harrier</t>
  </si>
  <si>
    <t>Panda</t>
  </si>
  <si>
    <t>Wolf</t>
  </si>
  <si>
    <t>2L</t>
  </si>
  <si>
    <t>Fawn</t>
  </si>
  <si>
    <t>Tortoise</t>
  </si>
  <si>
    <t>Silver</t>
  </si>
  <si>
    <t>1W</t>
  </si>
  <si>
    <t>Javelina</t>
  </si>
  <si>
    <t>Mole</t>
  </si>
  <si>
    <t>GP</t>
  </si>
  <si>
    <t>Moose</t>
  </si>
  <si>
    <t>Buffalo</t>
  </si>
  <si>
    <t>Possum</t>
  </si>
  <si>
    <t>5L</t>
  </si>
  <si>
    <t>Woodpecker</t>
  </si>
  <si>
    <t>Pigeon</t>
  </si>
  <si>
    <t>4L</t>
  </si>
  <si>
    <t>Bobcat</t>
  </si>
  <si>
    <t>Gecko</t>
  </si>
  <si>
    <t>FS</t>
  </si>
  <si>
    <t>Crane</t>
  </si>
  <si>
    <t>Pup</t>
  </si>
  <si>
    <t>Mule</t>
  </si>
  <si>
    <t>Polar</t>
  </si>
  <si>
    <t>Lion</t>
  </si>
  <si>
    <t>Fly</t>
  </si>
  <si>
    <t>Snail</t>
  </si>
  <si>
    <t>Grizz</t>
  </si>
  <si>
    <t>Dillo</t>
  </si>
  <si>
    <t>Anaconda</t>
  </si>
  <si>
    <t>Camel</t>
  </si>
  <si>
    <t>Grackle</t>
  </si>
  <si>
    <t>Record Streaks</t>
  </si>
  <si>
    <t>Sparrow</t>
  </si>
  <si>
    <t>Eel - 16 Ws</t>
  </si>
  <si>
    <t>Heron</t>
  </si>
  <si>
    <t>Eel - 13 Ls</t>
  </si>
  <si>
    <t>Hedgehog</t>
  </si>
  <si>
    <t>plus/minus over 500</t>
  </si>
  <si>
    <t>Crow</t>
  </si>
  <si>
    <t>Eag +20</t>
  </si>
  <si>
    <t>Giraffe</t>
  </si>
  <si>
    <t>Wolf -26</t>
  </si>
  <si>
    <t>Turkey Vulture</t>
  </si>
  <si>
    <t>Ant</t>
  </si>
  <si>
    <t>Marmot</t>
  </si>
  <si>
    <t>Yahk</t>
  </si>
  <si>
    <t>Pecker - 67</t>
  </si>
  <si>
    <t>Eag - 67</t>
  </si>
  <si>
    <t>Eag - 68</t>
  </si>
  <si>
    <t>Harry - 68</t>
  </si>
  <si>
    <t>Harry - 67</t>
  </si>
  <si>
    <t>York - 67</t>
  </si>
  <si>
    <t>Jav - 69</t>
  </si>
  <si>
    <t>10S</t>
  </si>
  <si>
    <t>Mole 10 shotted Moose</t>
  </si>
  <si>
    <t>PL</t>
  </si>
  <si>
    <t>Eag/Owl PLd Moose/Mole after 10. Lose D +No</t>
  </si>
  <si>
    <t>SOM</t>
  </si>
  <si>
    <t>Owl bunker shot on 12</t>
  </si>
  <si>
    <t>4W</t>
  </si>
  <si>
    <t>Owl - 68</t>
  </si>
  <si>
    <t>Mole - 66</t>
  </si>
  <si>
    <t>DGH</t>
  </si>
  <si>
    <t>Wolf 10 shotted Harry (in a dub)</t>
  </si>
  <si>
    <t>T8</t>
  </si>
  <si>
    <t>Ham - 69</t>
  </si>
  <si>
    <t>Wolf - 64</t>
  </si>
  <si>
    <t>6W</t>
  </si>
  <si>
    <t>Koala</t>
  </si>
  <si>
    <t>REC</t>
  </si>
  <si>
    <t>31 holes without bogey - Eagle</t>
  </si>
  <si>
    <t>T12</t>
  </si>
  <si>
    <t>2W</t>
  </si>
  <si>
    <t>3L</t>
  </si>
  <si>
    <t>Eel/WP over Ant/Buff after 10. Win D + No</t>
  </si>
  <si>
    <t>Buff - 83</t>
  </si>
  <si>
    <t>Buff -94</t>
  </si>
  <si>
    <t>PO</t>
  </si>
  <si>
    <t>Slug/WP over Owl/Fawn on 3rd playoff hole (1,2,18) ties record</t>
  </si>
  <si>
    <t>Mole - 67</t>
  </si>
  <si>
    <t>Eag - 66</t>
  </si>
  <si>
    <t>Ram - 69</t>
  </si>
  <si>
    <t>Ram - 68</t>
  </si>
  <si>
    <t>Eel - 69</t>
  </si>
  <si>
    <t>GHS</t>
  </si>
  <si>
    <t>harry/wolf/pand/jav on 17</t>
  </si>
  <si>
    <t xml:space="preserve">Eag/Ram on 11.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</si>
</sst>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4" fontId="0" fillId="2" borderId="0" xfId="0" applyNumberFormat="1" applyFill="1"/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2" fillId="4" borderId="0" xfId="0" applyFont="1" applyFill="1"/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2" fillId="5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1" fillId="6" borderId="0" xfId="0" applyFont="1" applyFill="1" applyAlignment="1">
      <alignment horizontal="right"/>
    </xf>
    <xf numFmtId="0" fontId="0" fillId="6" borderId="0" xfId="0" applyFill="1"/>
    <xf numFmtId="0" fontId="3" fillId="6" borderId="0" xfId="0" applyFont="1" applyFill="1"/>
    <xf numFmtId="0" fontId="1" fillId="6" borderId="0" xfId="0" applyFont="1" applyFill="1"/>
    <xf numFmtId="0" fontId="2" fillId="6" borderId="0" xfId="0" applyFont="1" applyFill="1"/>
    <xf numFmtId="2" fontId="0" fillId="2" borderId="0" xfId="0" applyNumberFormat="1" applyFill="1"/>
    <xf numFmtId="0" fontId="1" fillId="0" borderId="0" xfId="0" applyFont="1"/>
    <xf numFmtId="0" fontId="1" fillId="6" borderId="1" xfId="0" applyFont="1" applyFill="1" applyBorder="1"/>
    <xf numFmtId="0" fontId="2" fillId="6" borderId="2" xfId="0" applyFont="1" applyFill="1" applyBorder="1"/>
    <xf numFmtId="1" fontId="1" fillId="6" borderId="3" xfId="0" applyNumberFormat="1" applyFont="1" applyFill="1" applyBorder="1"/>
    <xf numFmtId="0" fontId="1" fillId="6" borderId="2" xfId="0" applyFont="1" applyFill="1" applyBorder="1"/>
    <xf numFmtId="1" fontId="1" fillId="0" borderId="0" xfId="0" applyNumberFormat="1" applyFont="1" applyFill="1" applyBorder="1"/>
    <xf numFmtId="1" fontId="0" fillId="0" borderId="0" xfId="0" applyNumberFormat="1"/>
    <xf numFmtId="4" fontId="0" fillId="0" borderId="0" xfId="0" applyNumberFormat="1"/>
    <xf numFmtId="2" fontId="0" fillId="0" borderId="0" xfId="0" applyNumberFormat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90"/>
  <sheetViews>
    <sheetView tabSelected="1" topLeftCell="A41" workbookViewId="0">
      <selection activeCell="B79" sqref="B79"/>
    </sheetView>
  </sheetViews>
  <sheetFormatPr defaultRowHeight="15"/>
  <cols>
    <col min="1" max="1" width="6.5703125" style="1" bestFit="1" customWidth="1"/>
    <col min="2" max="2" width="16.5703125" bestFit="1" customWidth="1"/>
    <col min="3" max="4" width="5" bestFit="1" customWidth="1"/>
    <col min="5" max="5" width="4.5703125" bestFit="1" customWidth="1"/>
    <col min="6" max="6" width="8.7109375" customWidth="1"/>
    <col min="7" max="7" width="3.5703125" customWidth="1"/>
    <col min="8" max="8" width="4.28515625" bestFit="1" customWidth="1"/>
    <col min="9" max="9" width="4" bestFit="1" customWidth="1"/>
    <col min="10" max="10" width="2.7109375" customWidth="1"/>
    <col min="11" max="11" width="8.7109375" bestFit="1" customWidth="1"/>
    <col min="12" max="12" width="9.28515625" bestFit="1" customWidth="1"/>
    <col min="13" max="13" width="10.5703125" bestFit="1" customWidth="1"/>
    <col min="14" max="14" width="2.140625" customWidth="1"/>
    <col min="16" max="16" width="13.85546875" customWidth="1"/>
    <col min="23" max="23" width="28.85546875" bestFit="1" customWidth="1"/>
    <col min="24" max="24" width="28.5703125" bestFit="1" customWidth="1"/>
    <col min="25" max="25" width="2.7109375" customWidth="1"/>
    <col min="26" max="26" width="27.28515625" bestFit="1" customWidth="1"/>
    <col min="27" max="27" width="16" bestFit="1" customWidth="1"/>
  </cols>
  <sheetData>
    <row r="1" spans="1:27">
      <c r="O1" s="2"/>
      <c r="P1" s="2"/>
      <c r="Q1" s="3"/>
      <c r="R1" s="3"/>
      <c r="S1" s="3"/>
      <c r="T1" s="3"/>
      <c r="U1" s="3"/>
      <c r="V1" s="3"/>
    </row>
    <row r="2" spans="1:27">
      <c r="B2" t="s">
        <v>0</v>
      </c>
      <c r="E2" t="s">
        <v>1</v>
      </c>
      <c r="H2" t="s">
        <v>2</v>
      </c>
      <c r="O2" s="2" t="s">
        <v>3</v>
      </c>
      <c r="P2" s="2"/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t="s">
        <v>10</v>
      </c>
      <c r="Z2" t="s">
        <v>11</v>
      </c>
    </row>
    <row r="3" spans="1:27">
      <c r="K3" t="s">
        <v>12</v>
      </c>
      <c r="L3" t="s">
        <v>13</v>
      </c>
      <c r="M3" t="s">
        <v>14</v>
      </c>
      <c r="O3" s="2" t="s">
        <v>15</v>
      </c>
      <c r="P3" s="2" t="s">
        <v>16</v>
      </c>
      <c r="Q3" s="3"/>
      <c r="R3" s="3"/>
      <c r="S3" s="3"/>
      <c r="T3" s="3"/>
      <c r="U3" s="3"/>
      <c r="V3" s="3"/>
      <c r="W3" t="s">
        <v>17</v>
      </c>
      <c r="X3" t="s">
        <v>18</v>
      </c>
      <c r="Z3" t="s">
        <v>17</v>
      </c>
      <c r="AA3" t="s">
        <v>18</v>
      </c>
    </row>
    <row r="4" spans="1:27">
      <c r="O4" s="4"/>
      <c r="P4" s="4"/>
      <c r="Q4" s="3"/>
      <c r="R4" s="3"/>
      <c r="S4" s="3"/>
      <c r="T4" s="3"/>
      <c r="U4" s="3"/>
      <c r="V4" s="3"/>
      <c r="W4" t="s">
        <v>110</v>
      </c>
      <c r="X4" t="s">
        <v>96</v>
      </c>
      <c r="Z4" t="s">
        <v>106</v>
      </c>
      <c r="AA4" t="s">
        <v>105</v>
      </c>
    </row>
    <row r="5" spans="1:27">
      <c r="A5" s="5">
        <v>1</v>
      </c>
      <c r="B5" s="6" t="s">
        <v>19</v>
      </c>
      <c r="C5" s="6">
        <v>29</v>
      </c>
      <c r="D5" s="6">
        <v>11</v>
      </c>
      <c r="E5" s="6">
        <v>1</v>
      </c>
      <c r="F5" s="6">
        <f t="shared" ref="F5:F10" si="0">C5-D5</f>
        <v>18</v>
      </c>
      <c r="G5" s="6"/>
      <c r="H5" s="6">
        <v>1</v>
      </c>
      <c r="I5" s="6">
        <v>1</v>
      </c>
      <c r="J5" s="6"/>
      <c r="K5" s="7" t="s">
        <v>21</v>
      </c>
      <c r="L5" s="7">
        <f>2-1</f>
        <v>1</v>
      </c>
      <c r="M5" s="7">
        <f>1-1+1-1-1+1-2+1+0-0-1+0+2+0+3-2-0+1-1+2+1+1+1+2+3+2+0+2+2+1+1+1+1+0+2-1+1+1-1+2-1</f>
        <v>24</v>
      </c>
      <c r="O5" s="4">
        <f>(75+73)/2</f>
        <v>74</v>
      </c>
      <c r="P5" s="4">
        <f>(71+69)/2</f>
        <v>70</v>
      </c>
      <c r="Q5" s="3">
        <f>1+3</f>
        <v>4</v>
      </c>
      <c r="R5" s="3">
        <f>1+1</f>
        <v>2</v>
      </c>
      <c r="S5" s="3"/>
      <c r="T5" s="3"/>
      <c r="U5" s="3">
        <f>-5</f>
        <v>-5</v>
      </c>
      <c r="V5" s="3">
        <f>1</f>
        <v>1</v>
      </c>
      <c r="W5" t="s">
        <v>81</v>
      </c>
      <c r="X5" t="s">
        <v>91</v>
      </c>
    </row>
    <row r="6" spans="1:27">
      <c r="A6" s="5">
        <v>2</v>
      </c>
      <c r="B6" s="6" t="s">
        <v>22</v>
      </c>
      <c r="C6" s="6">
        <v>23</v>
      </c>
      <c r="D6" s="6">
        <v>9</v>
      </c>
      <c r="E6" s="6"/>
      <c r="F6" s="6">
        <f t="shared" si="0"/>
        <v>14</v>
      </c>
      <c r="G6" s="6"/>
      <c r="H6" s="6">
        <v>6</v>
      </c>
      <c r="I6" s="6">
        <v>0</v>
      </c>
      <c r="J6" s="6"/>
      <c r="K6" s="7" t="s">
        <v>97</v>
      </c>
      <c r="L6" s="7">
        <f>2+2+0+0+2+1</f>
        <v>7</v>
      </c>
      <c r="M6" s="7">
        <f>-1+1+1-1-1+1+2+0+2+0+1+1+1+0+3+0+1-0-1-0+2+0+2-0+1-0+2+2+0+0+2+1</f>
        <v>22</v>
      </c>
      <c r="O6" s="4">
        <f>(71+68+73+68+71+66)/6</f>
        <v>69.5</v>
      </c>
      <c r="P6" s="4">
        <f>(71+67+73+68+71+66)/6</f>
        <v>69.333333333333329</v>
      </c>
      <c r="Q6" s="3">
        <f>4+4+2+2+2+5</f>
        <v>19</v>
      </c>
      <c r="R6" s="3">
        <f>1+1+1</f>
        <v>3</v>
      </c>
      <c r="S6" s="3"/>
      <c r="T6" s="3"/>
      <c r="U6" s="3">
        <f>0.25-5.75-0.5-2-0.25</f>
        <v>-8.25</v>
      </c>
      <c r="V6" s="3">
        <f>1+1</f>
        <v>2</v>
      </c>
      <c r="W6" t="s">
        <v>79</v>
      </c>
      <c r="X6" t="s">
        <v>110</v>
      </c>
    </row>
    <row r="7" spans="1:27">
      <c r="A7" s="5">
        <v>3</v>
      </c>
      <c r="B7" s="6" t="s">
        <v>20</v>
      </c>
      <c r="C7" s="6">
        <v>25</v>
      </c>
      <c r="D7" s="6">
        <v>14</v>
      </c>
      <c r="E7" s="6"/>
      <c r="F7" s="6">
        <f t="shared" si="0"/>
        <v>11</v>
      </c>
      <c r="G7" s="6"/>
      <c r="H7" s="6">
        <v>2</v>
      </c>
      <c r="I7" s="6">
        <v>2</v>
      </c>
      <c r="J7" s="6"/>
      <c r="K7" s="7" t="s">
        <v>21</v>
      </c>
      <c r="L7" s="7">
        <f>0-2+0-2</f>
        <v>-4</v>
      </c>
      <c r="M7" s="7">
        <f>-1-0+0+0+2+1+0+1+1+0-2-2+0-2-1+3+3+1+1+1+1-1+1+1+2+1+0-0-2+0+0-2-0+2-2+0-2+0-2</f>
        <v>3</v>
      </c>
      <c r="O7" s="4">
        <f>(81+76+74+77)/4</f>
        <v>77</v>
      </c>
      <c r="P7" s="4">
        <f>(75+70+68+71)/4</f>
        <v>71</v>
      </c>
      <c r="Q7" s="3">
        <f>1+1+3</f>
        <v>5</v>
      </c>
      <c r="R7" s="3">
        <f>1</f>
        <v>1</v>
      </c>
      <c r="S7" s="3">
        <f>1</f>
        <v>1</v>
      </c>
      <c r="T7" s="3"/>
      <c r="U7" s="3">
        <f>-0.75-3.5-2-2.25</f>
        <v>-8.5</v>
      </c>
      <c r="V7" s="3">
        <f>2+1</f>
        <v>3</v>
      </c>
      <c r="W7" t="s">
        <v>78</v>
      </c>
      <c r="X7" t="s">
        <v>80</v>
      </c>
    </row>
    <row r="8" spans="1:27">
      <c r="A8" s="8">
        <v>4</v>
      </c>
      <c r="B8" s="9" t="s">
        <v>25</v>
      </c>
      <c r="C8" s="9">
        <v>13</v>
      </c>
      <c r="D8" s="9">
        <v>4</v>
      </c>
      <c r="E8" s="9"/>
      <c r="F8" s="9">
        <f t="shared" si="0"/>
        <v>9</v>
      </c>
      <c r="G8" s="9"/>
      <c r="H8" s="9">
        <v>3</v>
      </c>
      <c r="I8" s="9">
        <v>0</v>
      </c>
      <c r="J8" s="9"/>
      <c r="K8" s="10" t="s">
        <v>97</v>
      </c>
      <c r="L8" s="10">
        <f>2+1+0</f>
        <v>3</v>
      </c>
      <c r="M8" s="10">
        <f>-1-1+0+1-1-1+2+1+1+2-1+1+2+2+2+1+0</f>
        <v>10</v>
      </c>
      <c r="O8" s="4">
        <f>(78+82+75)/3</f>
        <v>78.333333333333329</v>
      </c>
      <c r="P8" s="4">
        <f>(73+77+70)/3</f>
        <v>73.333333333333329</v>
      </c>
      <c r="Q8" s="3">
        <f>2+2</f>
        <v>4</v>
      </c>
      <c r="R8" s="3">
        <f>1</f>
        <v>1</v>
      </c>
      <c r="S8" s="3">
        <f>1</f>
        <v>1</v>
      </c>
      <c r="T8" s="3"/>
      <c r="U8" s="3">
        <f>2.75+2.25-3.25</f>
        <v>1.75</v>
      </c>
      <c r="V8" s="3">
        <f>2+3+2</f>
        <v>7</v>
      </c>
      <c r="W8" t="s">
        <v>78</v>
      </c>
      <c r="X8" t="s">
        <v>77</v>
      </c>
    </row>
    <row r="9" spans="1:27">
      <c r="A9" s="8">
        <v>5</v>
      </c>
      <c r="B9" s="9" t="s">
        <v>24</v>
      </c>
      <c r="C9" s="9">
        <v>17</v>
      </c>
      <c r="D9" s="9">
        <v>9</v>
      </c>
      <c r="E9" s="9">
        <v>1</v>
      </c>
      <c r="F9" s="9">
        <f>C9-D9</f>
        <v>8</v>
      </c>
      <c r="G9" s="9"/>
      <c r="H9" s="9">
        <v>1</v>
      </c>
      <c r="I9" s="9">
        <v>1</v>
      </c>
      <c r="J9" s="9"/>
      <c r="K9" s="10" t="s">
        <v>35</v>
      </c>
      <c r="L9" s="10">
        <f>0+1</f>
        <v>1</v>
      </c>
      <c r="M9" s="10">
        <f>-1+1+1-2+1-2+1-2+1-0+0-2+3-2+0+1+1+0-1-0+1-2+2+1+2-0+1</f>
        <v>3</v>
      </c>
      <c r="O9" s="4">
        <f>(72+69)/2</f>
        <v>70.5</v>
      </c>
      <c r="P9" s="4">
        <f>(71+68)/2</f>
        <v>69.5</v>
      </c>
      <c r="Q9" s="3">
        <f>2+4</f>
        <v>6</v>
      </c>
      <c r="R9" s="3">
        <f>1+1</f>
        <v>2</v>
      </c>
      <c r="S9" s="3">
        <f>1</f>
        <v>1</v>
      </c>
      <c r="T9" s="3"/>
      <c r="U9" s="3">
        <v>0.25</v>
      </c>
      <c r="V9" s="3">
        <f>1</f>
        <v>1</v>
      </c>
      <c r="W9" t="s">
        <v>111</v>
      </c>
      <c r="X9" t="s">
        <v>81</v>
      </c>
    </row>
    <row r="10" spans="1:27">
      <c r="A10" s="8">
        <v>6</v>
      </c>
      <c r="B10" s="9" t="s">
        <v>23</v>
      </c>
      <c r="C10" s="9">
        <v>12</v>
      </c>
      <c r="D10" s="9">
        <v>5</v>
      </c>
      <c r="E10" s="9"/>
      <c r="F10" s="9">
        <f t="shared" si="0"/>
        <v>7</v>
      </c>
      <c r="G10" s="9"/>
      <c r="H10" s="9">
        <v>1</v>
      </c>
      <c r="I10" s="9">
        <v>2</v>
      </c>
      <c r="J10" s="9"/>
      <c r="K10" s="10" t="s">
        <v>21</v>
      </c>
      <c r="L10" s="10">
        <f>-1+2-1</f>
        <v>0</v>
      </c>
      <c r="M10" s="10">
        <f>1-1+1+1+2+1+2+1-1+2-1+2+1-1-1+2-1</f>
        <v>10</v>
      </c>
      <c r="O10" s="4">
        <f>(70+67+73)/3</f>
        <v>70</v>
      </c>
      <c r="P10" s="4">
        <f>(70+67+74)/3</f>
        <v>70.333333333333329</v>
      </c>
      <c r="Q10" s="3">
        <f>2+5+2</f>
        <v>9</v>
      </c>
      <c r="R10" s="3">
        <f>1+1</f>
        <v>2</v>
      </c>
      <c r="S10" s="3"/>
      <c r="T10" s="3"/>
      <c r="U10" s="3">
        <f>-0.5-3.25+1.75</f>
        <v>-2</v>
      </c>
      <c r="V10" s="3">
        <f>1</f>
        <v>1</v>
      </c>
      <c r="X10" t="s">
        <v>76</v>
      </c>
    </row>
    <row r="11" spans="1:27">
      <c r="A11" s="11">
        <v>7</v>
      </c>
      <c r="B11" s="12" t="s">
        <v>28</v>
      </c>
      <c r="C11" s="12">
        <v>24</v>
      </c>
      <c r="D11" s="12">
        <v>19</v>
      </c>
      <c r="E11" s="12"/>
      <c r="F11" s="12">
        <f>C11-D11</f>
        <v>5</v>
      </c>
      <c r="G11" s="12"/>
      <c r="H11" s="12">
        <v>5</v>
      </c>
      <c r="I11" s="12">
        <v>2</v>
      </c>
      <c r="J11" s="12"/>
      <c r="K11" s="13" t="s">
        <v>21</v>
      </c>
      <c r="L11" s="13">
        <f>0+1-2+0+0+2-1</f>
        <v>0</v>
      </c>
      <c r="M11" s="13">
        <f>3+1-0-1-1-1-1+2+2-1+2+1-2+2+2+2+2-1+1+3-1+1+1-1-1+1-0-1+1-1+1-1-2+1+3+3+0+1-2+0+0+2-1</f>
        <v>19</v>
      </c>
      <c r="O11" s="4">
        <f>(74+77+68+74+75+72+74)/7</f>
        <v>73.428571428571431</v>
      </c>
      <c r="P11" s="4">
        <f>(73+76+67+73+74+71+73)/7</f>
        <v>72.428571428571431</v>
      </c>
      <c r="Q11" s="3">
        <f>3+1+5+4+3+4+3</f>
        <v>23</v>
      </c>
      <c r="R11" s="3">
        <f>1+2+1</f>
        <v>4</v>
      </c>
      <c r="S11" s="3">
        <f>1</f>
        <v>1</v>
      </c>
      <c r="T11" s="3"/>
      <c r="U11" s="3">
        <f>-1+0.25-4.5-0.5+4-0.25</f>
        <v>-2</v>
      </c>
      <c r="V11" s="3">
        <f>2+2+1+2+2</f>
        <v>9</v>
      </c>
      <c r="X11" t="s">
        <v>109</v>
      </c>
    </row>
    <row r="12" spans="1:27">
      <c r="A12" s="11" t="s">
        <v>94</v>
      </c>
      <c r="B12" s="12" t="s">
        <v>26</v>
      </c>
      <c r="C12" s="12">
        <v>10</v>
      </c>
      <c r="D12" s="12">
        <v>6</v>
      </c>
      <c r="E12" s="12"/>
      <c r="F12" s="12">
        <f t="shared" ref="F12" si="1">C12-D12</f>
        <v>4</v>
      </c>
      <c r="G12" s="12"/>
      <c r="H12" s="12">
        <v>1</v>
      </c>
      <c r="I12" s="12">
        <v>2</v>
      </c>
      <c r="J12" s="12"/>
      <c r="K12" s="12" t="s">
        <v>35</v>
      </c>
      <c r="L12" s="12">
        <f>-1-0+1</f>
        <v>0</v>
      </c>
      <c r="M12" s="12">
        <f>1+1+0+1+0+0+1+1-2-0-1+0-2-1-0+1</f>
        <v>0</v>
      </c>
      <c r="O12" s="4">
        <f>(80+79+76)/3</f>
        <v>78.333333333333329</v>
      </c>
      <c r="P12" s="4">
        <f>(73+72+69)/3</f>
        <v>71.333333333333329</v>
      </c>
      <c r="Q12" s="3">
        <f>1</f>
        <v>1</v>
      </c>
      <c r="R12" s="3">
        <f>1</f>
        <v>1</v>
      </c>
      <c r="S12" s="3"/>
      <c r="T12" s="3"/>
      <c r="U12" s="3">
        <f>2.5+1.75-3.25</f>
        <v>1</v>
      </c>
      <c r="V12" s="3">
        <f>1</f>
        <v>1</v>
      </c>
      <c r="X12" t="s">
        <v>78</v>
      </c>
    </row>
    <row r="13" spans="1:27">
      <c r="A13" s="11" t="s">
        <v>94</v>
      </c>
      <c r="B13" s="12" t="s">
        <v>27</v>
      </c>
      <c r="C13" s="12">
        <v>20</v>
      </c>
      <c r="D13" s="12">
        <v>16</v>
      </c>
      <c r="E13" s="12"/>
      <c r="F13" s="12">
        <f t="shared" ref="F13" si="2">C13-D13</f>
        <v>4</v>
      </c>
      <c r="G13" s="12"/>
      <c r="H13" s="12">
        <v>0</v>
      </c>
      <c r="I13" s="12">
        <v>1</v>
      </c>
      <c r="J13" s="12"/>
      <c r="K13" s="13" t="s">
        <v>21</v>
      </c>
      <c r="L13" s="13">
        <f>-1</f>
        <v>-1</v>
      </c>
      <c r="M13" s="13">
        <f>1+1+1+2+1+2+0-1-2+0+0+0+0-0-3-2-1+1+1+1-1-2-2-1+0+1-2-1-1-1+0+1+0+1+1-1</f>
        <v>-6</v>
      </c>
      <c r="O13" s="4">
        <f>78</f>
        <v>78</v>
      </c>
      <c r="P13" s="4">
        <f>71</f>
        <v>71</v>
      </c>
      <c r="Q13" s="3">
        <f>2</f>
        <v>2</v>
      </c>
      <c r="R13" s="3"/>
      <c r="S13" s="3"/>
      <c r="T13" s="3"/>
      <c r="U13" s="3">
        <f>-0.5</f>
        <v>-0.5</v>
      </c>
      <c r="V13" s="3">
        <f>1</f>
        <v>1</v>
      </c>
      <c r="X13" t="s">
        <v>90</v>
      </c>
    </row>
    <row r="14" spans="1:27">
      <c r="A14" s="11">
        <v>10</v>
      </c>
      <c r="B14" s="12" t="s">
        <v>30</v>
      </c>
      <c r="C14" s="12">
        <v>21</v>
      </c>
      <c r="D14" s="12">
        <v>20</v>
      </c>
      <c r="E14" s="12"/>
      <c r="F14" s="12">
        <f t="shared" ref="F14:F21" si="3">C14-D14</f>
        <v>1</v>
      </c>
      <c r="G14" s="12"/>
      <c r="H14" s="12">
        <v>4</v>
      </c>
      <c r="I14" s="12">
        <v>0</v>
      </c>
      <c r="J14" s="12"/>
      <c r="K14" s="13" t="s">
        <v>89</v>
      </c>
      <c r="L14" s="13">
        <f>2+0+1+2</f>
        <v>5</v>
      </c>
      <c r="M14" s="13">
        <f>3+0+1+1-1+1-1-1-1+1+0+1+0-2-1-1-1+2+2+0-1-2-1+1-2-0-0-1+1+1-0-1-1+1+2-1+1+2+0+1+2</f>
        <v>5</v>
      </c>
      <c r="O14" s="4">
        <f>(80+82+81+74)/4</f>
        <v>79.25</v>
      </c>
      <c r="P14" s="4">
        <f>(70+72+71+64)/4</f>
        <v>69.25</v>
      </c>
      <c r="Q14" s="3">
        <f>2</f>
        <v>2</v>
      </c>
      <c r="R14" s="3">
        <f>2</f>
        <v>2</v>
      </c>
      <c r="S14" s="3"/>
      <c r="T14" s="3"/>
      <c r="U14" s="3">
        <f>-0.75-3.75-3.75-6</f>
        <v>-14.25</v>
      </c>
      <c r="V14" s="3">
        <f>2+2+3</f>
        <v>7</v>
      </c>
      <c r="X14" t="s">
        <v>112</v>
      </c>
    </row>
    <row r="15" spans="1:27">
      <c r="A15" s="11">
        <v>11</v>
      </c>
      <c r="B15" s="12" t="s">
        <v>29</v>
      </c>
      <c r="C15" s="12">
        <v>14</v>
      </c>
      <c r="D15" s="12">
        <v>16</v>
      </c>
      <c r="E15" s="12"/>
      <c r="F15" s="12">
        <f t="shared" si="3"/>
        <v>-2</v>
      </c>
      <c r="G15" s="12"/>
      <c r="H15" s="12">
        <v>2</v>
      </c>
      <c r="I15" s="12">
        <v>2</v>
      </c>
      <c r="J15" s="12"/>
      <c r="K15" s="13" t="s">
        <v>21</v>
      </c>
      <c r="L15" s="13">
        <f>1-0+1-1</f>
        <v>1</v>
      </c>
      <c r="M15" s="13">
        <f>-3+0+1-0-2-0-0-2-1-1+1-0+1+2+1+2-0-0-1+0+1-1-2+1+1-3+1-0+1-1</f>
        <v>-4</v>
      </c>
      <c r="O15" s="4">
        <f>(81+78+75+76)/4</f>
        <v>77.5</v>
      </c>
      <c r="P15" s="4">
        <f>(77+74+71+72)/4</f>
        <v>73.5</v>
      </c>
      <c r="Q15" s="3">
        <f>3+2</f>
        <v>5</v>
      </c>
      <c r="R15" s="3">
        <f>1</f>
        <v>1</v>
      </c>
      <c r="S15" s="3"/>
      <c r="T15" s="3"/>
      <c r="U15" s="3">
        <f>4.25+3.5+1-0.25</f>
        <v>8.5</v>
      </c>
      <c r="V15" s="3">
        <f>1+1+1+1</f>
        <v>4</v>
      </c>
      <c r="X15" t="s">
        <v>82</v>
      </c>
    </row>
    <row r="16" spans="1:27">
      <c r="A16" s="11" t="s">
        <v>101</v>
      </c>
      <c r="B16" s="12" t="s">
        <v>33</v>
      </c>
      <c r="C16" s="12">
        <v>6</v>
      </c>
      <c r="D16" s="12">
        <v>10</v>
      </c>
      <c r="E16" s="12"/>
      <c r="F16" s="12">
        <f>C16-D16</f>
        <v>-4</v>
      </c>
      <c r="G16" s="12"/>
      <c r="H16" s="12">
        <v>1</v>
      </c>
      <c r="I16" s="12">
        <v>0</v>
      </c>
      <c r="J16" s="12"/>
      <c r="K16" s="13" t="s">
        <v>35</v>
      </c>
      <c r="L16" s="13">
        <f>0</f>
        <v>0</v>
      </c>
      <c r="M16" s="13">
        <f>0-0+1+1+2+1-1-1-1-1-1+1-2-2-0-0</f>
        <v>-3</v>
      </c>
      <c r="O16" s="4">
        <f>87</f>
        <v>87</v>
      </c>
      <c r="P16" s="4">
        <f>74</f>
        <v>74</v>
      </c>
      <c r="Q16" s="3"/>
      <c r="R16" s="3"/>
      <c r="S16" s="3"/>
      <c r="T16" s="3"/>
      <c r="U16" s="3">
        <f>0</f>
        <v>0</v>
      </c>
      <c r="V16" s="3">
        <f>5</f>
        <v>5</v>
      </c>
      <c r="X16" t="s">
        <v>95</v>
      </c>
    </row>
    <row r="17" spans="1:24">
      <c r="A17" s="11" t="s">
        <v>101</v>
      </c>
      <c r="B17" s="12" t="s">
        <v>32</v>
      </c>
      <c r="C17" s="12">
        <v>6</v>
      </c>
      <c r="D17" s="12">
        <v>10</v>
      </c>
      <c r="E17" s="14"/>
      <c r="F17" s="12">
        <f t="shared" si="3"/>
        <v>-4</v>
      </c>
      <c r="G17" s="14"/>
      <c r="H17" s="12">
        <v>1</v>
      </c>
      <c r="I17" s="12">
        <v>2</v>
      </c>
      <c r="J17" s="14"/>
      <c r="K17" s="13" t="s">
        <v>31</v>
      </c>
      <c r="L17" s="12">
        <f>1-1-2</f>
        <v>-2</v>
      </c>
      <c r="M17" s="12">
        <f>-1-3-1-1-1+0-1-3+0-0+1-1+1+1-1-2</f>
        <v>-12</v>
      </c>
      <c r="O17" s="4">
        <f>(79+79+83)/3</f>
        <v>80.333333333333329</v>
      </c>
      <c r="P17" s="4">
        <f>(72+72+76)/3</f>
        <v>73.333333333333329</v>
      </c>
      <c r="Q17" s="3">
        <f>2+2</f>
        <v>4</v>
      </c>
      <c r="R17" s="3"/>
      <c r="S17" s="3"/>
      <c r="T17" s="3"/>
      <c r="U17" s="3">
        <f>1.5-2.75+2.75</f>
        <v>1.5</v>
      </c>
      <c r="V17" s="3">
        <f>1+2+5</f>
        <v>8</v>
      </c>
      <c r="X17" t="s">
        <v>113</v>
      </c>
    </row>
    <row r="18" spans="1:24">
      <c r="A18" s="11">
        <v>14</v>
      </c>
      <c r="B18" s="12" t="s">
        <v>34</v>
      </c>
      <c r="C18" s="12">
        <v>4</v>
      </c>
      <c r="D18" s="12">
        <v>12</v>
      </c>
      <c r="E18" s="12">
        <v>1</v>
      </c>
      <c r="F18" s="12">
        <f t="shared" si="3"/>
        <v>-8</v>
      </c>
      <c r="G18" s="12"/>
      <c r="H18" s="12">
        <v>0</v>
      </c>
      <c r="I18" s="12">
        <v>2</v>
      </c>
      <c r="J18" s="12"/>
      <c r="K18" s="13" t="s">
        <v>31</v>
      </c>
      <c r="L18" s="13">
        <f>0-0</f>
        <v>0</v>
      </c>
      <c r="M18" s="13">
        <f>-3-1+1-1-3+2-1-1-2-2-2+0+2-2+1-0-0</f>
        <v>-12</v>
      </c>
      <c r="O18" s="4">
        <f>(81+81)/2</f>
        <v>81</v>
      </c>
      <c r="P18" s="4">
        <f>(71+71)/2</f>
        <v>71</v>
      </c>
      <c r="Q18" s="3">
        <f>1</f>
        <v>1</v>
      </c>
      <c r="R18" s="3">
        <f>1</f>
        <v>1</v>
      </c>
      <c r="S18" s="3">
        <f>1</f>
        <v>1</v>
      </c>
      <c r="T18" s="3"/>
      <c r="U18" s="3">
        <f>0.25-1.75</f>
        <v>-1.5</v>
      </c>
      <c r="V18" s="3">
        <f>5+1</f>
        <v>6</v>
      </c>
    </row>
    <row r="19" spans="1:24">
      <c r="A19" s="11">
        <v>15</v>
      </c>
      <c r="B19" s="12" t="s">
        <v>40</v>
      </c>
      <c r="C19" s="12">
        <v>2</v>
      </c>
      <c r="D19" s="12">
        <v>13</v>
      </c>
      <c r="E19" s="12"/>
      <c r="F19" s="12">
        <f>C19-D19</f>
        <v>-11</v>
      </c>
      <c r="G19" s="12"/>
      <c r="H19" s="12">
        <v>1</v>
      </c>
      <c r="I19" s="12">
        <v>2</v>
      </c>
      <c r="J19" s="12"/>
      <c r="K19" s="13" t="s">
        <v>21</v>
      </c>
      <c r="L19" s="13">
        <f>-2+2-2</f>
        <v>-2</v>
      </c>
      <c r="M19" s="13">
        <f>0-1+1-2-0-1-1-2-1-1-3-2-2+2-2</f>
        <v>-15</v>
      </c>
      <c r="N19" s="14"/>
      <c r="O19" s="4">
        <f>(81+87+94)/3</f>
        <v>87.333333333333329</v>
      </c>
      <c r="P19" s="4">
        <f>(70+76+83)/3</f>
        <v>76.333333333333329</v>
      </c>
      <c r="Q19" s="3">
        <f>1</f>
        <v>1</v>
      </c>
      <c r="R19" s="3"/>
      <c r="S19" s="3">
        <f>3</f>
        <v>3</v>
      </c>
      <c r="T19" s="3"/>
      <c r="U19" s="3">
        <f>-4+3.25+6</f>
        <v>5.25</v>
      </c>
      <c r="V19" s="3">
        <f>2+3+10</f>
        <v>15</v>
      </c>
    </row>
    <row r="20" spans="1:24">
      <c r="A20" s="11">
        <v>16</v>
      </c>
      <c r="B20" s="12" t="s">
        <v>36</v>
      </c>
      <c r="C20" s="12">
        <v>15</v>
      </c>
      <c r="D20" s="12">
        <v>27</v>
      </c>
      <c r="E20" s="12"/>
      <c r="F20" s="12">
        <f>C20-D20</f>
        <v>-12</v>
      </c>
      <c r="G20" s="12"/>
      <c r="H20" s="12">
        <v>0</v>
      </c>
      <c r="I20" s="12">
        <v>4</v>
      </c>
      <c r="J20" s="12"/>
      <c r="K20" s="13" t="s">
        <v>45</v>
      </c>
      <c r="L20" s="13">
        <f>-1-0-1-1</f>
        <v>-3</v>
      </c>
      <c r="M20" s="13">
        <f>2-1-1-0+0-1-3-2-1+1+2+1-1+0-0+1-0+1-1-1+1-0+2+1+2+2+1-0-1-0-1+0-1-1-2-1-1+0-1-0-1-1</f>
        <v>-6</v>
      </c>
      <c r="O20" s="4">
        <f>(80+76+86+78)/4</f>
        <v>80</v>
      </c>
      <c r="P20" s="4">
        <f>(73+69+79+71)/4</f>
        <v>73</v>
      </c>
      <c r="Q20" s="3">
        <f>2+2</f>
        <v>4</v>
      </c>
      <c r="R20" s="3">
        <f>1</f>
        <v>1</v>
      </c>
      <c r="S20" s="3"/>
      <c r="T20" s="3"/>
      <c r="U20" s="3">
        <f>1.5-1.25+4.25+1</f>
        <v>5.5</v>
      </c>
      <c r="V20" s="3">
        <f>1+1+2</f>
        <v>4</v>
      </c>
    </row>
    <row r="21" spans="1:24">
      <c r="A21" s="1">
        <v>17</v>
      </c>
      <c r="B21" s="12" t="s">
        <v>37</v>
      </c>
      <c r="C21" s="12">
        <v>10</v>
      </c>
      <c r="D21" s="12">
        <v>25</v>
      </c>
      <c r="E21" s="12">
        <v>1</v>
      </c>
      <c r="F21" s="12">
        <f t="shared" si="3"/>
        <v>-15</v>
      </c>
      <c r="G21" s="12"/>
      <c r="H21" s="12">
        <v>0</v>
      </c>
      <c r="I21" s="12">
        <v>2</v>
      </c>
      <c r="J21" s="12"/>
      <c r="K21" s="13" t="s">
        <v>42</v>
      </c>
      <c r="L21" s="13">
        <f>1-0</f>
        <v>1</v>
      </c>
      <c r="M21" s="13">
        <f>-1+1-1+0-0-1-1+1+1-0+1-2-2-1-1-0-0-2-3-1+0-0+1-1+2+1-1+1-0+1+1-1-3-2+1-0</f>
        <v>-12</v>
      </c>
      <c r="O21" s="4">
        <f>(75+75)/2</f>
        <v>75</v>
      </c>
      <c r="P21" s="4">
        <f>(66+67)/2</f>
        <v>66.5</v>
      </c>
      <c r="Q21" s="3">
        <f>2+2</f>
        <v>4</v>
      </c>
      <c r="R21" s="3"/>
      <c r="S21" s="3">
        <f>1+1</f>
        <v>2</v>
      </c>
      <c r="T21" s="3"/>
      <c r="U21" s="3">
        <f>-4-4.25</f>
        <v>-8.25</v>
      </c>
      <c r="V21" s="3">
        <f>1+1</f>
        <v>2</v>
      </c>
    </row>
    <row r="22" spans="1:24">
      <c r="O22" s="4"/>
      <c r="P22" s="4"/>
      <c r="Q22" s="3"/>
      <c r="R22" s="3"/>
      <c r="S22" s="3"/>
      <c r="T22" s="3"/>
      <c r="U22" s="3"/>
      <c r="V22" s="3"/>
    </row>
    <row r="23" spans="1:24">
      <c r="O23" s="4"/>
      <c r="P23" s="4"/>
      <c r="Q23" s="3"/>
      <c r="R23" s="3"/>
      <c r="S23" s="3"/>
      <c r="T23" s="3"/>
      <c r="U23" s="3"/>
      <c r="V23" s="3"/>
    </row>
    <row r="24" spans="1:24">
      <c r="O24" s="4"/>
      <c r="P24" s="4"/>
      <c r="Q24" s="3"/>
      <c r="R24" s="3"/>
      <c r="S24" s="3"/>
      <c r="T24" s="3"/>
      <c r="U24" s="3"/>
      <c r="V24" s="3"/>
    </row>
    <row r="25" spans="1:24">
      <c r="A25" s="11"/>
      <c r="O25" s="4"/>
      <c r="P25" s="4"/>
      <c r="Q25" s="3"/>
      <c r="R25" s="3"/>
      <c r="S25" s="3"/>
      <c r="T25" s="3"/>
      <c r="U25" s="3"/>
      <c r="V25" s="3"/>
    </row>
    <row r="26" spans="1:24">
      <c r="A26" s="11"/>
      <c r="O26" s="4"/>
      <c r="P26" s="4"/>
      <c r="Q26" s="3"/>
      <c r="R26" s="3"/>
      <c r="S26" s="3"/>
      <c r="T26" s="3"/>
      <c r="U26" s="3"/>
      <c r="V26" s="3"/>
    </row>
    <row r="27" spans="1:24">
      <c r="A27" s="11"/>
      <c r="O27" s="4"/>
      <c r="P27" s="4"/>
      <c r="Q27" s="3"/>
      <c r="R27" s="3"/>
      <c r="S27" s="3"/>
      <c r="T27" s="3"/>
      <c r="U27" s="3"/>
      <c r="V27" s="3"/>
    </row>
    <row r="28" spans="1:24">
      <c r="A28" s="11"/>
      <c r="O28" s="4"/>
      <c r="P28" s="4"/>
      <c r="Q28" s="3"/>
      <c r="R28" s="3"/>
      <c r="S28" s="3"/>
      <c r="T28" s="3"/>
      <c r="U28" s="3"/>
      <c r="V28" s="3"/>
    </row>
    <row r="29" spans="1:24">
      <c r="O29" s="4"/>
      <c r="P29" s="4"/>
      <c r="Q29" s="3"/>
      <c r="R29" s="3"/>
      <c r="S29" s="3"/>
      <c r="T29" s="3"/>
      <c r="U29" s="3"/>
      <c r="V29" s="3"/>
    </row>
    <row r="30" spans="1:24">
      <c r="O30" s="4"/>
      <c r="P30" s="4"/>
      <c r="Q30" s="3"/>
      <c r="R30" s="3"/>
      <c r="S30" s="3"/>
      <c r="T30" s="3"/>
      <c r="U30" s="3"/>
      <c r="V30" s="3"/>
    </row>
    <row r="31" spans="1:24">
      <c r="O31" s="4"/>
      <c r="P31" s="4"/>
      <c r="Q31" s="3"/>
      <c r="R31" s="3"/>
      <c r="S31" s="3"/>
      <c r="T31" s="3"/>
      <c r="U31" s="3"/>
      <c r="V31" s="3"/>
    </row>
    <row r="32" spans="1:24">
      <c r="O32" s="4"/>
      <c r="P32" s="4"/>
      <c r="Q32" s="3"/>
      <c r="R32" s="3"/>
      <c r="S32" s="3"/>
      <c r="T32" s="3"/>
      <c r="U32" s="3"/>
      <c r="V32" s="3"/>
    </row>
    <row r="33" spans="1:22">
      <c r="O33" s="4"/>
      <c r="P33" s="4"/>
      <c r="Q33" s="3"/>
      <c r="R33" s="3"/>
      <c r="S33" s="3"/>
      <c r="T33" s="3"/>
      <c r="U33" s="3"/>
      <c r="V33" s="3"/>
    </row>
    <row r="34" spans="1:22">
      <c r="A34" s="15" t="s">
        <v>38</v>
      </c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17"/>
      <c r="M34" s="17"/>
      <c r="O34" s="4"/>
      <c r="P34" s="4"/>
      <c r="Q34" s="3"/>
      <c r="R34" s="3"/>
      <c r="S34" s="3"/>
      <c r="T34" s="3"/>
      <c r="U34" s="3"/>
      <c r="V34" s="3"/>
    </row>
    <row r="35" spans="1:22">
      <c r="A35" s="15">
        <f>C35+D35+E35</f>
        <v>13</v>
      </c>
      <c r="B35" s="18" t="s">
        <v>39</v>
      </c>
      <c r="C35" s="18">
        <v>4</v>
      </c>
      <c r="D35" s="18">
        <v>9</v>
      </c>
      <c r="E35" s="18"/>
      <c r="F35" s="18">
        <f>C35-D35</f>
        <v>-5</v>
      </c>
      <c r="G35" s="18"/>
      <c r="H35" s="18">
        <v>0</v>
      </c>
      <c r="I35" s="18">
        <v>1</v>
      </c>
      <c r="J35" s="18"/>
      <c r="K35" s="19" t="s">
        <v>45</v>
      </c>
      <c r="L35" s="19">
        <f>-1</f>
        <v>-1</v>
      </c>
      <c r="M35" s="18">
        <f>0-1+1+2+1-0-1-2-1-1-1-0-1</f>
        <v>-4</v>
      </c>
      <c r="O35" s="4">
        <f>81</f>
        <v>81</v>
      </c>
      <c r="P35" s="4">
        <f>78</f>
        <v>78</v>
      </c>
      <c r="Q35" s="3">
        <f>1</f>
        <v>1</v>
      </c>
      <c r="R35" s="3"/>
      <c r="S35" s="3">
        <f>1</f>
        <v>1</v>
      </c>
      <c r="T35" s="3"/>
      <c r="U35" s="3">
        <f>8</f>
        <v>8</v>
      </c>
      <c r="V35" s="3">
        <f>3</f>
        <v>3</v>
      </c>
    </row>
    <row r="36" spans="1:22">
      <c r="A36" s="15">
        <f>C36+D36+E36</f>
        <v>11</v>
      </c>
      <c r="B36" s="18" t="s">
        <v>43</v>
      </c>
      <c r="C36" s="18">
        <v>7</v>
      </c>
      <c r="D36" s="18">
        <v>4</v>
      </c>
      <c r="E36" s="18"/>
      <c r="F36" s="18">
        <f>C36-D36</f>
        <v>3</v>
      </c>
      <c r="G36" s="18"/>
      <c r="H36" s="18">
        <v>3</v>
      </c>
      <c r="I36" s="18">
        <v>1</v>
      </c>
      <c r="J36" s="18"/>
      <c r="K36" s="19" t="s">
        <v>102</v>
      </c>
      <c r="L36" s="18">
        <f>1-2+0+2</f>
        <v>1</v>
      </c>
      <c r="M36" s="18">
        <f>-1-1+1+0-2+3+2+1-2+0+2</f>
        <v>3</v>
      </c>
      <c r="O36" s="20">
        <f>(74+84+76+82)/4</f>
        <v>79</v>
      </c>
      <c r="P36" s="20">
        <f>(67+78+70+76)/4</f>
        <v>72.75</v>
      </c>
      <c r="Q36" s="3">
        <f>2+2</f>
        <v>4</v>
      </c>
      <c r="R36" s="3">
        <f>1</f>
        <v>1</v>
      </c>
      <c r="S36" s="3">
        <f>1+1</f>
        <v>2</v>
      </c>
      <c r="T36" s="3"/>
      <c r="U36" s="3">
        <f>-3.5+4.5-6+2.75</f>
        <v>-2.25</v>
      </c>
      <c r="V36" s="3">
        <f>4+3+2</f>
        <v>9</v>
      </c>
    </row>
    <row r="37" spans="1:22">
      <c r="A37" s="15">
        <f>C37+D37+E37</f>
        <v>9</v>
      </c>
      <c r="B37" s="18" t="s">
        <v>41</v>
      </c>
      <c r="C37" s="18">
        <v>1</v>
      </c>
      <c r="D37" s="18">
        <v>8</v>
      </c>
      <c r="E37" s="18"/>
      <c r="F37" s="18">
        <f>C37-D37</f>
        <v>-7</v>
      </c>
      <c r="G37" s="18"/>
      <c r="H37" s="18"/>
      <c r="I37" s="18"/>
      <c r="J37" s="18"/>
      <c r="K37" s="19" t="s">
        <v>42</v>
      </c>
      <c r="L37" s="19"/>
      <c r="M37" s="19">
        <f>-1-1-0+2-2-1-1-2-1</f>
        <v>-7</v>
      </c>
      <c r="O37" s="4"/>
      <c r="P37" s="4"/>
      <c r="Q37" s="3"/>
      <c r="R37" s="3"/>
      <c r="S37" s="3"/>
      <c r="T37" s="3"/>
      <c r="U37" s="3"/>
      <c r="V37" s="3"/>
    </row>
    <row r="38" spans="1:22">
      <c r="A38" s="15">
        <f>C38+D38+E38</f>
        <v>6</v>
      </c>
      <c r="B38" s="18" t="s">
        <v>46</v>
      </c>
      <c r="C38" s="18">
        <v>4</v>
      </c>
      <c r="D38" s="18">
        <v>2</v>
      </c>
      <c r="E38" s="18"/>
      <c r="F38" s="18">
        <f>C38-D38</f>
        <v>2</v>
      </c>
      <c r="G38" s="18"/>
      <c r="H38" s="18">
        <v>0</v>
      </c>
      <c r="I38" s="18">
        <v>1</v>
      </c>
      <c r="J38" s="18"/>
      <c r="K38" s="19" t="s">
        <v>21</v>
      </c>
      <c r="L38" s="19">
        <f>-1</f>
        <v>-1</v>
      </c>
      <c r="M38" s="19">
        <f>1+3-1+2+2-1</f>
        <v>6</v>
      </c>
      <c r="O38" s="4">
        <f>72</f>
        <v>72</v>
      </c>
      <c r="P38" s="4">
        <f>74</f>
        <v>74</v>
      </c>
      <c r="Q38" s="3"/>
      <c r="R38" s="3"/>
      <c r="S38" s="3"/>
      <c r="T38" s="3"/>
      <c r="U38" s="3">
        <f>1.75</f>
        <v>1.75</v>
      </c>
      <c r="V38" s="3"/>
    </row>
    <row r="39" spans="1:22">
      <c r="A39" s="15">
        <f t="shared" ref="A39:A63" si="4">C39+D39+E39</f>
        <v>6</v>
      </c>
      <c r="B39" s="18" t="s">
        <v>44</v>
      </c>
      <c r="C39" s="18">
        <v>2</v>
      </c>
      <c r="D39" s="18">
        <v>4</v>
      </c>
      <c r="E39" s="18"/>
      <c r="F39" s="18">
        <f t="shared" ref="F39:F59" si="5">C39-D39</f>
        <v>-2</v>
      </c>
      <c r="G39" s="18"/>
      <c r="H39" s="18"/>
      <c r="I39" s="18"/>
      <c r="J39" s="18"/>
      <c r="K39" s="18" t="s">
        <v>45</v>
      </c>
      <c r="L39" s="18"/>
      <c r="M39" s="18">
        <f>1+1-2-1-1-1</f>
        <v>-3</v>
      </c>
      <c r="N39" s="21"/>
      <c r="O39" s="20"/>
      <c r="P39" s="20"/>
      <c r="Q39" s="3"/>
      <c r="R39" s="3"/>
      <c r="S39" s="3"/>
      <c r="T39" s="3"/>
      <c r="U39" s="3"/>
      <c r="V39" s="3"/>
    </row>
    <row r="40" spans="1:22">
      <c r="A40" s="15">
        <f t="shared" si="4"/>
        <v>5</v>
      </c>
      <c r="B40" s="18" t="s">
        <v>47</v>
      </c>
      <c r="C40" s="18">
        <v>3</v>
      </c>
      <c r="D40" s="18">
        <v>2</v>
      </c>
      <c r="E40" s="18"/>
      <c r="F40" s="18">
        <f t="shared" si="5"/>
        <v>1</v>
      </c>
      <c r="G40" s="18"/>
      <c r="H40" s="18"/>
      <c r="I40" s="18"/>
      <c r="J40" s="18"/>
      <c r="K40" s="19" t="s">
        <v>21</v>
      </c>
      <c r="L40" s="19"/>
      <c r="M40" s="19">
        <f>-1-1+2+1-1</f>
        <v>0</v>
      </c>
      <c r="O40" s="4"/>
      <c r="P40" s="4"/>
      <c r="Q40" s="3"/>
      <c r="R40" s="3"/>
      <c r="S40" s="3"/>
      <c r="T40" s="3"/>
      <c r="U40" s="3"/>
      <c r="V40" s="3"/>
    </row>
    <row r="41" spans="1:22">
      <c r="A41" s="15">
        <f t="shared" si="4"/>
        <v>5</v>
      </c>
      <c r="B41" s="18" t="s">
        <v>48</v>
      </c>
      <c r="C41" s="18">
        <v>3</v>
      </c>
      <c r="D41" s="18">
        <v>2</v>
      </c>
      <c r="E41" s="18"/>
      <c r="F41" s="18">
        <f t="shared" si="5"/>
        <v>1</v>
      </c>
      <c r="G41" s="18"/>
      <c r="H41" s="18"/>
      <c r="I41" s="18"/>
      <c r="J41" s="18"/>
      <c r="K41" s="18" t="s">
        <v>21</v>
      </c>
      <c r="L41" s="18"/>
      <c r="M41" s="18">
        <f>1-1+1+0-1</f>
        <v>0</v>
      </c>
      <c r="O41" s="4"/>
      <c r="P41" s="4"/>
      <c r="Q41" s="3"/>
      <c r="R41" s="3"/>
      <c r="S41" s="3"/>
      <c r="T41" s="3"/>
      <c r="U41" s="3"/>
      <c r="V41" s="3"/>
    </row>
    <row r="42" spans="1:22">
      <c r="A42" s="15">
        <f t="shared" si="4"/>
        <v>5</v>
      </c>
      <c r="B42" s="18" t="s">
        <v>49</v>
      </c>
      <c r="C42" s="18">
        <v>2</v>
      </c>
      <c r="D42" s="18">
        <v>3</v>
      </c>
      <c r="E42" s="18"/>
      <c r="F42" s="18">
        <f t="shared" si="5"/>
        <v>-1</v>
      </c>
      <c r="G42" s="18"/>
      <c r="H42" s="18"/>
      <c r="I42" s="18"/>
      <c r="J42" s="18"/>
      <c r="K42" s="19" t="s">
        <v>35</v>
      </c>
      <c r="L42" s="18"/>
      <c r="M42" s="18">
        <f>-1-1+2-2+2</f>
        <v>0</v>
      </c>
      <c r="O42" s="4"/>
      <c r="P42" s="4"/>
      <c r="Q42" s="3"/>
      <c r="R42" s="3"/>
      <c r="S42" s="3"/>
      <c r="T42" s="3"/>
      <c r="U42" s="3"/>
      <c r="V42" s="3"/>
    </row>
    <row r="43" spans="1:22">
      <c r="A43" s="15">
        <f t="shared" si="4"/>
        <v>5</v>
      </c>
      <c r="B43" s="18" t="s">
        <v>50</v>
      </c>
      <c r="C43" s="18">
        <v>1</v>
      </c>
      <c r="D43" s="18">
        <v>4</v>
      </c>
      <c r="E43" s="18"/>
      <c r="F43" s="18">
        <f t="shared" si="5"/>
        <v>-3</v>
      </c>
      <c r="G43" s="18"/>
      <c r="H43" s="18"/>
      <c r="I43" s="18"/>
      <c r="J43" s="18"/>
      <c r="K43" s="19" t="s">
        <v>45</v>
      </c>
      <c r="L43" s="19"/>
      <c r="M43" s="19">
        <f>1-2-0-0-1</f>
        <v>-2</v>
      </c>
      <c r="O43" s="20"/>
      <c r="P43" s="20"/>
      <c r="Q43" s="3"/>
      <c r="R43" s="3"/>
      <c r="S43" s="3"/>
      <c r="T43" s="3"/>
      <c r="U43" s="3"/>
      <c r="V43" s="3"/>
    </row>
    <row r="44" spans="1:22">
      <c r="A44" s="15">
        <f t="shared" si="4"/>
        <v>5</v>
      </c>
      <c r="B44" s="18" t="s">
        <v>51</v>
      </c>
      <c r="C44" s="18">
        <v>0</v>
      </c>
      <c r="D44" s="18">
        <v>5</v>
      </c>
      <c r="E44" s="16"/>
      <c r="F44" s="18">
        <f t="shared" si="5"/>
        <v>-5</v>
      </c>
      <c r="G44" s="18"/>
      <c r="H44" s="18">
        <v>0</v>
      </c>
      <c r="I44" s="18">
        <v>1</v>
      </c>
      <c r="J44" s="18"/>
      <c r="K44" s="19" t="s">
        <v>42</v>
      </c>
      <c r="L44" s="18">
        <f>-2</f>
        <v>-2</v>
      </c>
      <c r="M44" s="18">
        <f>-1-0-0-1-2</f>
        <v>-4</v>
      </c>
      <c r="O44" s="20">
        <f>83</f>
        <v>83</v>
      </c>
      <c r="P44" s="20">
        <f>79</f>
        <v>79</v>
      </c>
      <c r="Q44" s="3">
        <f>1</f>
        <v>1</v>
      </c>
      <c r="R44" s="3"/>
      <c r="S44" s="3"/>
      <c r="T44" s="3"/>
      <c r="U44" s="3">
        <f>5</f>
        <v>5</v>
      </c>
      <c r="V44" s="3">
        <f>2</f>
        <v>2</v>
      </c>
    </row>
    <row r="45" spans="1:22">
      <c r="A45" s="15">
        <f t="shared" si="4"/>
        <v>3</v>
      </c>
      <c r="B45" s="18" t="s">
        <v>52</v>
      </c>
      <c r="C45" s="18">
        <v>2</v>
      </c>
      <c r="D45" s="18">
        <v>1</v>
      </c>
      <c r="E45" s="16"/>
      <c r="F45" s="18">
        <f t="shared" si="5"/>
        <v>1</v>
      </c>
      <c r="G45" s="16"/>
      <c r="H45" s="18"/>
      <c r="I45" s="18"/>
      <c r="J45" s="16"/>
      <c r="K45" s="19" t="s">
        <v>21</v>
      </c>
      <c r="L45" s="19"/>
      <c r="M45" s="19">
        <f>1+1-1</f>
        <v>1</v>
      </c>
      <c r="O45" s="20"/>
      <c r="P45" s="20"/>
      <c r="Q45" s="3"/>
      <c r="R45" s="3"/>
      <c r="S45" s="3"/>
      <c r="T45" s="3"/>
      <c r="U45" s="3"/>
      <c r="V45" s="3"/>
    </row>
    <row r="46" spans="1:22">
      <c r="A46" s="15">
        <f t="shared" si="4"/>
        <v>3</v>
      </c>
      <c r="B46" s="18" t="s">
        <v>53</v>
      </c>
      <c r="C46" s="18">
        <v>2</v>
      </c>
      <c r="D46" s="18">
        <v>1</v>
      </c>
      <c r="E46" s="16"/>
      <c r="F46" s="18">
        <f t="shared" si="5"/>
        <v>1</v>
      </c>
      <c r="G46" s="16"/>
      <c r="H46" s="18"/>
      <c r="I46" s="18"/>
      <c r="J46" s="16"/>
      <c r="K46" s="19" t="s">
        <v>35</v>
      </c>
      <c r="L46" s="19"/>
      <c r="M46" s="19">
        <f>2-3+1</f>
        <v>0</v>
      </c>
      <c r="O46" s="20"/>
      <c r="P46" s="20"/>
      <c r="Q46" s="3"/>
      <c r="R46" s="3"/>
      <c r="S46" s="3"/>
      <c r="T46" s="3"/>
      <c r="U46" s="3"/>
      <c r="V46" s="3"/>
    </row>
    <row r="47" spans="1:22">
      <c r="A47" s="15">
        <f t="shared" si="4"/>
        <v>3</v>
      </c>
      <c r="B47" s="18" t="s">
        <v>54</v>
      </c>
      <c r="C47" s="18">
        <v>1</v>
      </c>
      <c r="D47" s="18">
        <v>2</v>
      </c>
      <c r="E47" s="18"/>
      <c r="F47" s="18">
        <f t="shared" si="5"/>
        <v>-1</v>
      </c>
      <c r="G47" s="18"/>
      <c r="H47" s="18"/>
      <c r="I47" s="18"/>
      <c r="J47" s="18"/>
      <c r="K47" s="18" t="s">
        <v>31</v>
      </c>
      <c r="L47" s="18"/>
      <c r="M47" s="18">
        <f>1-2-2</f>
        <v>-3</v>
      </c>
      <c r="O47" s="20"/>
      <c r="P47" s="20"/>
      <c r="Q47" s="3"/>
      <c r="R47" s="3"/>
      <c r="S47" s="3"/>
      <c r="T47" s="3"/>
      <c r="U47" s="3"/>
      <c r="V47" s="3"/>
    </row>
    <row r="48" spans="1:22">
      <c r="A48" s="15">
        <f t="shared" si="4"/>
        <v>2</v>
      </c>
      <c r="B48" s="18" t="s">
        <v>55</v>
      </c>
      <c r="C48" s="18">
        <v>1</v>
      </c>
      <c r="D48" s="18">
        <v>1</v>
      </c>
      <c r="E48" s="16"/>
      <c r="F48" s="18">
        <f t="shared" si="5"/>
        <v>0</v>
      </c>
      <c r="G48" s="16"/>
      <c r="H48" s="18"/>
      <c r="I48" s="18"/>
      <c r="J48" s="16"/>
      <c r="K48" s="19" t="s">
        <v>35</v>
      </c>
      <c r="L48" s="19"/>
      <c r="M48" s="19">
        <f>-1+1</f>
        <v>0</v>
      </c>
      <c r="O48" s="20"/>
      <c r="P48" s="20"/>
      <c r="Q48" s="3"/>
      <c r="R48" s="3"/>
      <c r="S48" s="3"/>
      <c r="T48" s="3"/>
      <c r="U48" s="3"/>
      <c r="V48" s="3"/>
    </row>
    <row r="49" spans="1:23">
      <c r="A49" s="15">
        <f t="shared" si="4"/>
        <v>2</v>
      </c>
      <c r="B49" s="18" t="s">
        <v>56</v>
      </c>
      <c r="C49" s="18">
        <v>1</v>
      </c>
      <c r="D49" s="18">
        <v>1</v>
      </c>
      <c r="E49" s="16"/>
      <c r="F49" s="18">
        <f t="shared" si="5"/>
        <v>0</v>
      </c>
      <c r="G49" s="16"/>
      <c r="H49" s="18"/>
      <c r="I49" s="18"/>
      <c r="J49" s="16"/>
      <c r="K49" s="19" t="s">
        <v>35</v>
      </c>
      <c r="L49" s="19"/>
      <c r="M49" s="19">
        <f>0+0</f>
        <v>0</v>
      </c>
      <c r="O49" s="20"/>
      <c r="P49" s="20"/>
      <c r="Q49" s="3"/>
      <c r="R49" s="3"/>
      <c r="S49" s="3"/>
      <c r="T49" s="3"/>
      <c r="U49" s="3"/>
      <c r="V49" s="3"/>
    </row>
    <row r="50" spans="1:23">
      <c r="A50" s="15">
        <f t="shared" si="4"/>
        <v>2</v>
      </c>
      <c r="B50" s="18" t="s">
        <v>57</v>
      </c>
      <c r="C50" s="18">
        <v>1</v>
      </c>
      <c r="D50" s="18">
        <v>1</v>
      </c>
      <c r="E50" s="18"/>
      <c r="F50" s="18">
        <f t="shared" si="5"/>
        <v>0</v>
      </c>
      <c r="G50" s="18"/>
      <c r="H50" s="18"/>
      <c r="I50" s="18"/>
      <c r="J50" s="18"/>
      <c r="K50" s="19" t="s">
        <v>21</v>
      </c>
      <c r="L50" s="19"/>
      <c r="M50" s="19">
        <f>1-1</f>
        <v>0</v>
      </c>
      <c r="O50" s="20"/>
      <c r="P50" s="20"/>
      <c r="Q50" s="3"/>
      <c r="R50" s="3"/>
      <c r="S50" s="3"/>
      <c r="T50" s="3"/>
      <c r="U50" s="3"/>
      <c r="V50" s="3"/>
    </row>
    <row r="51" spans="1:23">
      <c r="A51" s="15">
        <f>C51+D51+E51</f>
        <v>2</v>
      </c>
      <c r="B51" s="18" t="s">
        <v>73</v>
      </c>
      <c r="C51" s="18">
        <v>0</v>
      </c>
      <c r="D51" s="18">
        <v>2</v>
      </c>
      <c r="E51" s="18"/>
      <c r="F51" s="18">
        <f>C51-D51</f>
        <v>-2</v>
      </c>
      <c r="G51" s="18"/>
      <c r="H51" s="18">
        <v>0</v>
      </c>
      <c r="I51" s="18">
        <v>1</v>
      </c>
      <c r="J51" s="18"/>
      <c r="K51" s="19" t="s">
        <v>103</v>
      </c>
      <c r="L51" s="18">
        <f>-2</f>
        <v>-2</v>
      </c>
      <c r="M51" s="18">
        <f>-2-2</f>
        <v>-4</v>
      </c>
      <c r="O51" s="20">
        <f>87</f>
        <v>87</v>
      </c>
      <c r="P51" s="20">
        <f>80</f>
        <v>80</v>
      </c>
      <c r="Q51" s="3"/>
      <c r="R51" s="3"/>
      <c r="S51" s="3">
        <f>3</f>
        <v>3</v>
      </c>
      <c r="T51" s="3"/>
      <c r="U51" s="3">
        <f>5</f>
        <v>5</v>
      </c>
      <c r="V51" s="3">
        <f>5</f>
        <v>5</v>
      </c>
    </row>
    <row r="52" spans="1:23">
      <c r="A52" s="15">
        <f t="shared" si="4"/>
        <v>1</v>
      </c>
      <c r="B52" s="18" t="s">
        <v>58</v>
      </c>
      <c r="C52" s="18">
        <v>1</v>
      </c>
      <c r="D52" s="18">
        <v>0</v>
      </c>
      <c r="E52" s="18"/>
      <c r="F52" s="18">
        <f t="shared" si="5"/>
        <v>1</v>
      </c>
      <c r="G52" s="18"/>
      <c r="H52" s="18"/>
      <c r="I52" s="18"/>
      <c r="J52" s="18"/>
      <c r="K52" s="19" t="s">
        <v>35</v>
      </c>
      <c r="L52" s="19"/>
      <c r="M52" s="19">
        <f>2</f>
        <v>2</v>
      </c>
      <c r="O52" s="20"/>
      <c r="P52" s="20"/>
      <c r="Q52" s="3"/>
      <c r="R52" s="3"/>
      <c r="S52" s="3"/>
      <c r="T52" s="3"/>
      <c r="U52" s="3"/>
      <c r="V52" s="3"/>
    </row>
    <row r="53" spans="1:23" ht="15.75" thickBot="1">
      <c r="A53" s="15">
        <f t="shared" si="4"/>
        <v>1</v>
      </c>
      <c r="B53" s="18" t="s">
        <v>59</v>
      </c>
      <c r="C53" s="18">
        <v>1</v>
      </c>
      <c r="D53" s="18">
        <v>0</v>
      </c>
      <c r="E53" s="16"/>
      <c r="F53" s="18">
        <f t="shared" si="5"/>
        <v>1</v>
      </c>
      <c r="G53" s="16"/>
      <c r="H53" s="18"/>
      <c r="I53" s="18"/>
      <c r="J53" s="16"/>
      <c r="K53" s="19" t="s">
        <v>35</v>
      </c>
      <c r="L53" s="16"/>
      <c r="M53" s="18">
        <f>1</f>
        <v>1</v>
      </c>
      <c r="N53" s="21"/>
      <c r="O53" s="20"/>
      <c r="P53" s="20"/>
      <c r="Q53" s="3"/>
      <c r="R53" s="3"/>
      <c r="S53" s="3"/>
      <c r="T53" s="3"/>
      <c r="U53" s="3"/>
      <c r="V53" s="3"/>
    </row>
    <row r="54" spans="1:23">
      <c r="A54" s="15">
        <f t="shared" si="4"/>
        <v>1</v>
      </c>
      <c r="B54" s="18" t="s">
        <v>60</v>
      </c>
      <c r="C54" s="18">
        <v>0</v>
      </c>
      <c r="D54" s="18">
        <v>1</v>
      </c>
      <c r="E54" s="16"/>
      <c r="F54" s="18">
        <f t="shared" si="5"/>
        <v>-1</v>
      </c>
      <c r="G54" s="16"/>
      <c r="H54" s="18"/>
      <c r="I54" s="18"/>
      <c r="J54" s="16"/>
      <c r="K54" s="19" t="s">
        <v>21</v>
      </c>
      <c r="L54" s="18"/>
      <c r="M54" s="18">
        <f>-1</f>
        <v>-1</v>
      </c>
      <c r="O54" s="20"/>
      <c r="P54" s="20"/>
      <c r="Q54" s="3"/>
      <c r="R54" s="3"/>
      <c r="S54" s="3"/>
      <c r="T54" s="3"/>
      <c r="U54" s="3"/>
      <c r="V54" s="3"/>
      <c r="W54" s="22" t="s">
        <v>61</v>
      </c>
    </row>
    <row r="55" spans="1:23">
      <c r="A55" s="15">
        <f t="shared" si="4"/>
        <v>1</v>
      </c>
      <c r="B55" s="18" t="s">
        <v>62</v>
      </c>
      <c r="C55" s="18">
        <v>0</v>
      </c>
      <c r="D55" s="18">
        <v>1</v>
      </c>
      <c r="E55" s="18"/>
      <c r="F55" s="18">
        <f t="shared" si="5"/>
        <v>-1</v>
      </c>
      <c r="G55" s="18"/>
      <c r="H55" s="18"/>
      <c r="I55" s="18"/>
      <c r="J55" s="18"/>
      <c r="K55" s="19" t="s">
        <v>31</v>
      </c>
      <c r="L55" s="18"/>
      <c r="M55" s="18">
        <f>-1</f>
        <v>-1</v>
      </c>
      <c r="O55" s="20"/>
      <c r="P55" s="20"/>
      <c r="Q55" s="3"/>
      <c r="R55" s="3"/>
      <c r="S55" s="3"/>
      <c r="T55" s="3"/>
      <c r="U55" s="3"/>
      <c r="V55" s="3"/>
      <c r="W55" s="23" t="s">
        <v>63</v>
      </c>
    </row>
    <row r="56" spans="1:23" ht="15.75" thickBot="1">
      <c r="A56" s="15">
        <f t="shared" si="4"/>
        <v>1</v>
      </c>
      <c r="B56" s="18" t="s">
        <v>64</v>
      </c>
      <c r="C56" s="18">
        <v>0</v>
      </c>
      <c r="D56" s="18">
        <v>1</v>
      </c>
      <c r="E56" s="18"/>
      <c r="F56" s="18">
        <f t="shared" si="5"/>
        <v>-1</v>
      </c>
      <c r="G56" s="18"/>
      <c r="H56" s="18"/>
      <c r="I56" s="18"/>
      <c r="J56" s="18"/>
      <c r="K56" s="19" t="s">
        <v>21</v>
      </c>
      <c r="L56" s="18"/>
      <c r="M56" s="18">
        <f>-2</f>
        <v>-2</v>
      </c>
      <c r="O56" s="20"/>
      <c r="P56" s="20"/>
      <c r="Q56" s="3"/>
      <c r="R56" s="3"/>
      <c r="S56" s="3"/>
      <c r="T56" s="3"/>
      <c r="U56" s="3"/>
      <c r="V56" s="3"/>
      <c r="W56" s="24" t="s">
        <v>65</v>
      </c>
    </row>
    <row r="57" spans="1:23">
      <c r="A57" s="15">
        <f t="shared" si="4"/>
        <v>1</v>
      </c>
      <c r="B57" s="18" t="s">
        <v>66</v>
      </c>
      <c r="C57" s="18">
        <v>0</v>
      </c>
      <c r="D57" s="18">
        <v>1</v>
      </c>
      <c r="E57" s="18"/>
      <c r="F57" s="18">
        <f t="shared" si="5"/>
        <v>-1</v>
      </c>
      <c r="G57" s="18"/>
      <c r="H57" s="18"/>
      <c r="I57" s="18"/>
      <c r="J57" s="18"/>
      <c r="K57" s="19" t="s">
        <v>31</v>
      </c>
      <c r="L57" s="18"/>
      <c r="M57" s="18">
        <f>0</f>
        <v>0</v>
      </c>
      <c r="O57" s="20"/>
      <c r="P57" s="20"/>
      <c r="Q57" s="3"/>
      <c r="R57" s="3"/>
      <c r="S57" s="3"/>
      <c r="T57" s="3"/>
      <c r="U57" s="3"/>
      <c r="V57" s="3"/>
      <c r="W57" s="22" t="s">
        <v>67</v>
      </c>
    </row>
    <row r="58" spans="1:23">
      <c r="A58" s="15">
        <f t="shared" si="4"/>
        <v>1</v>
      </c>
      <c r="B58" s="18" t="s">
        <v>68</v>
      </c>
      <c r="C58" s="18">
        <v>0</v>
      </c>
      <c r="D58" s="18">
        <v>1</v>
      </c>
      <c r="E58" s="18"/>
      <c r="F58" s="18">
        <f t="shared" si="5"/>
        <v>-1</v>
      </c>
      <c r="G58" s="18"/>
      <c r="H58" s="18"/>
      <c r="I58" s="18"/>
      <c r="J58" s="18"/>
      <c r="K58" s="19" t="s">
        <v>21</v>
      </c>
      <c r="L58" s="18"/>
      <c r="M58" s="18">
        <f>-1</f>
        <v>-1</v>
      </c>
      <c r="O58" s="4"/>
      <c r="P58" s="4"/>
      <c r="Q58" s="3"/>
      <c r="R58" s="3"/>
      <c r="S58" s="3"/>
      <c r="T58" s="3"/>
      <c r="U58" s="3"/>
      <c r="V58" s="3"/>
      <c r="W58" s="25" t="s">
        <v>69</v>
      </c>
    </row>
    <row r="59" spans="1:23" ht="15.75" thickBot="1">
      <c r="A59" s="15">
        <f t="shared" si="4"/>
        <v>1</v>
      </c>
      <c r="B59" s="18" t="s">
        <v>70</v>
      </c>
      <c r="C59" s="18">
        <v>0</v>
      </c>
      <c r="D59" s="18">
        <v>1</v>
      </c>
      <c r="E59" s="18"/>
      <c r="F59" s="18">
        <f t="shared" si="5"/>
        <v>-1</v>
      </c>
      <c r="G59" s="18"/>
      <c r="H59" s="18"/>
      <c r="I59" s="18"/>
      <c r="J59" s="18"/>
      <c r="K59" s="19" t="s">
        <v>21</v>
      </c>
      <c r="L59" s="18"/>
      <c r="M59" s="18">
        <f>-1</f>
        <v>-1</v>
      </c>
      <c r="O59" s="4"/>
      <c r="P59" s="4"/>
      <c r="Q59" s="3"/>
      <c r="R59" s="3"/>
      <c r="S59" s="3"/>
      <c r="T59" s="3"/>
      <c r="U59" s="3"/>
      <c r="V59" s="3"/>
      <c r="W59" s="24" t="s">
        <v>71</v>
      </c>
    </row>
    <row r="60" spans="1:23">
      <c r="A60" s="15">
        <f t="shared" si="4"/>
        <v>1</v>
      </c>
      <c r="B60" s="18" t="s">
        <v>72</v>
      </c>
      <c r="C60" s="18">
        <v>0</v>
      </c>
      <c r="D60" s="18">
        <v>1</v>
      </c>
      <c r="E60" s="18"/>
      <c r="F60" s="18">
        <f>C60-D60</f>
        <v>-1</v>
      </c>
      <c r="G60" s="18"/>
      <c r="H60" s="18"/>
      <c r="I60" s="18"/>
      <c r="J60" s="18"/>
      <c r="K60" s="18" t="s">
        <v>21</v>
      </c>
      <c r="L60" s="19"/>
      <c r="M60" s="19">
        <f t="shared" ref="M60:M61" si="6">-2</f>
        <v>-2</v>
      </c>
      <c r="O60" s="4"/>
      <c r="P60" s="4"/>
      <c r="Q60" s="3"/>
      <c r="R60" s="3"/>
      <c r="S60" s="3"/>
      <c r="T60" s="3"/>
      <c r="U60" s="3"/>
      <c r="V60" s="3"/>
      <c r="W60" s="26"/>
    </row>
    <row r="61" spans="1:23">
      <c r="A61" s="15">
        <f t="shared" si="4"/>
        <v>1</v>
      </c>
      <c r="B61" s="18" t="s">
        <v>74</v>
      </c>
      <c r="C61" s="18">
        <v>0</v>
      </c>
      <c r="D61" s="18">
        <v>1</v>
      </c>
      <c r="E61" s="18"/>
      <c r="F61" s="18">
        <f>C61-D61</f>
        <v>-1</v>
      </c>
      <c r="G61" s="18"/>
      <c r="H61" s="18"/>
      <c r="I61" s="18"/>
      <c r="J61" s="18"/>
      <c r="K61" s="19" t="s">
        <v>31</v>
      </c>
      <c r="L61" s="18"/>
      <c r="M61" s="18">
        <f t="shared" si="6"/>
        <v>-2</v>
      </c>
      <c r="O61" s="4"/>
      <c r="P61" s="4"/>
      <c r="Q61" s="3"/>
      <c r="R61" s="3"/>
      <c r="S61" s="3"/>
      <c r="T61" s="3"/>
      <c r="U61" s="3"/>
      <c r="V61" s="3"/>
      <c r="W61" s="26"/>
    </row>
    <row r="62" spans="1:23">
      <c r="A62" s="15">
        <f t="shared" si="4"/>
        <v>1</v>
      </c>
      <c r="B62" s="18" t="s">
        <v>75</v>
      </c>
      <c r="C62" s="18">
        <v>0</v>
      </c>
      <c r="D62" s="18">
        <v>1</v>
      </c>
      <c r="E62" s="18"/>
      <c r="F62" s="18">
        <f>C62-D62</f>
        <v>-1</v>
      </c>
      <c r="G62" s="18"/>
      <c r="H62" s="18">
        <v>0</v>
      </c>
      <c r="I62" s="18">
        <v>1</v>
      </c>
      <c r="J62" s="18"/>
      <c r="K62" s="19" t="s">
        <v>21</v>
      </c>
      <c r="L62" s="19">
        <f>-2</f>
        <v>-2</v>
      </c>
      <c r="M62" s="18">
        <f>-2</f>
        <v>-2</v>
      </c>
      <c r="O62" s="4">
        <f>84</f>
        <v>84</v>
      </c>
      <c r="P62" s="4">
        <f>80</f>
        <v>80</v>
      </c>
      <c r="Q62" s="3">
        <f>1</f>
        <v>1</v>
      </c>
      <c r="R62" s="3"/>
      <c r="S62" s="3">
        <f>1</f>
        <v>1</v>
      </c>
      <c r="T62" s="3"/>
      <c r="U62" s="3">
        <f>4.25</f>
        <v>4.25</v>
      </c>
      <c r="V62" s="3">
        <f>2</f>
        <v>2</v>
      </c>
    </row>
    <row r="63" spans="1:23">
      <c r="A63" s="15">
        <f t="shared" si="4"/>
        <v>1</v>
      </c>
      <c r="B63" s="18" t="s">
        <v>98</v>
      </c>
      <c r="C63" s="18">
        <v>0</v>
      </c>
      <c r="D63" s="18">
        <v>1</v>
      </c>
      <c r="E63" s="18"/>
      <c r="F63" s="18">
        <f>C63-D63</f>
        <v>-1</v>
      </c>
      <c r="G63" s="18"/>
      <c r="H63" s="18">
        <v>0</v>
      </c>
      <c r="I63" s="18">
        <v>1</v>
      </c>
      <c r="J63" s="18"/>
      <c r="K63" s="19" t="s">
        <v>21</v>
      </c>
      <c r="L63" s="18">
        <f>0</f>
        <v>0</v>
      </c>
      <c r="M63" s="18">
        <f>0</f>
        <v>0</v>
      </c>
      <c r="O63" s="4">
        <f>82</f>
        <v>82</v>
      </c>
      <c r="P63" s="4">
        <f>76</f>
        <v>76</v>
      </c>
      <c r="Q63" s="3">
        <f>1</f>
        <v>1</v>
      </c>
      <c r="R63" s="3"/>
      <c r="S63" s="3">
        <f>1</f>
        <v>1</v>
      </c>
      <c r="T63" s="3"/>
      <c r="U63" s="3">
        <f>4.75</f>
        <v>4.75</v>
      </c>
      <c r="V63" s="3">
        <f>4</f>
        <v>4</v>
      </c>
    </row>
    <row r="64" spans="1:23">
      <c r="O64" s="4"/>
      <c r="P64" s="4"/>
      <c r="Q64" s="3"/>
      <c r="R64" s="3"/>
      <c r="S64" s="3"/>
      <c r="T64" s="3"/>
      <c r="U64" s="3"/>
      <c r="V64" s="3"/>
    </row>
    <row r="65" spans="1:22">
      <c r="O65" s="4"/>
      <c r="P65" s="4"/>
      <c r="Q65" s="3"/>
      <c r="R65" s="3"/>
      <c r="S65" s="3"/>
      <c r="T65" s="3"/>
      <c r="U65" s="3"/>
      <c r="V65" s="3"/>
    </row>
    <row r="66" spans="1:22">
      <c r="O66" s="4"/>
      <c r="P66" s="4"/>
      <c r="Q66" s="3"/>
      <c r="R66" s="3"/>
      <c r="S66" s="3"/>
      <c r="T66" s="3"/>
      <c r="U66" s="3"/>
      <c r="V66" s="3"/>
    </row>
    <row r="68" spans="1:22">
      <c r="C68" s="27">
        <f>SUM(C5:C64)</f>
        <v>288</v>
      </c>
      <c r="D68" s="27">
        <f t="shared" ref="D68:M68" si="7">SUM(D5:D64)</f>
        <v>288</v>
      </c>
      <c r="E68" s="27">
        <f>SUM(E5:E64)</f>
        <v>4</v>
      </c>
      <c r="F68" s="27">
        <f t="shared" si="7"/>
        <v>0</v>
      </c>
      <c r="G68" s="27"/>
      <c r="H68" s="27">
        <f t="shared" si="7"/>
        <v>32</v>
      </c>
      <c r="I68" s="27">
        <f t="shared" si="7"/>
        <v>32</v>
      </c>
      <c r="J68" s="27">
        <f t="shared" si="7"/>
        <v>0</v>
      </c>
      <c r="K68" s="27"/>
      <c r="L68" s="27">
        <f t="shared" si="7"/>
        <v>0</v>
      </c>
      <c r="M68" s="27">
        <f t="shared" si="7"/>
        <v>0</v>
      </c>
      <c r="O68" s="28"/>
      <c r="P68" s="28"/>
      <c r="Q68" s="27">
        <f t="shared" ref="Q68:V68" si="8">SUM(Q5:Q63)</f>
        <v>102</v>
      </c>
      <c r="R68" s="27">
        <f t="shared" si="8"/>
        <v>22</v>
      </c>
      <c r="S68" s="27">
        <f t="shared" si="8"/>
        <v>18</v>
      </c>
      <c r="T68" s="27">
        <f t="shared" si="8"/>
        <v>0</v>
      </c>
      <c r="U68" s="27">
        <f t="shared" si="8"/>
        <v>0</v>
      </c>
      <c r="V68" s="27">
        <f t="shared" si="8"/>
        <v>102</v>
      </c>
    </row>
    <row r="69" spans="1:22">
      <c r="O69" s="28"/>
      <c r="P69" s="28"/>
    </row>
    <row r="70" spans="1:22">
      <c r="A70" s="1" t="s">
        <v>83</v>
      </c>
      <c r="B70" s="12" t="s">
        <v>84</v>
      </c>
      <c r="O70" s="28"/>
      <c r="P70" s="28"/>
    </row>
    <row r="71" spans="1:22">
      <c r="A71" s="1" t="s">
        <v>85</v>
      </c>
      <c r="B71" s="12" t="s">
        <v>86</v>
      </c>
      <c r="O71" s="28"/>
      <c r="P71" s="28"/>
    </row>
    <row r="72" spans="1:22">
      <c r="A72" s="1" t="s">
        <v>87</v>
      </c>
      <c r="B72" s="21" t="s">
        <v>88</v>
      </c>
      <c r="O72" s="28"/>
      <c r="P72" s="28"/>
    </row>
    <row r="73" spans="1:22">
      <c r="A73" s="1" t="s">
        <v>92</v>
      </c>
      <c r="B73" s="21" t="s">
        <v>115</v>
      </c>
      <c r="O73" s="28"/>
      <c r="P73" s="28"/>
    </row>
    <row r="74" spans="1:22">
      <c r="A74" s="1" t="s">
        <v>83</v>
      </c>
      <c r="B74" s="21" t="s">
        <v>93</v>
      </c>
      <c r="O74" s="28"/>
      <c r="P74" s="28"/>
    </row>
    <row r="75" spans="1:22">
      <c r="A75" s="1" t="s">
        <v>99</v>
      </c>
      <c r="B75" s="21" t="s">
        <v>100</v>
      </c>
      <c r="O75" s="28"/>
      <c r="P75" s="28"/>
    </row>
    <row r="76" spans="1:22">
      <c r="A76" s="1" t="s">
        <v>85</v>
      </c>
      <c r="B76" s="21" t="s">
        <v>104</v>
      </c>
      <c r="O76" s="28"/>
      <c r="P76" s="28"/>
    </row>
    <row r="77" spans="1:22">
      <c r="A77" s="1" t="s">
        <v>107</v>
      </c>
      <c r="B77" s="21" t="s">
        <v>108</v>
      </c>
      <c r="O77" s="28"/>
      <c r="P77" s="28"/>
    </row>
    <row r="78" spans="1:22">
      <c r="A78" s="1" t="s">
        <v>114</v>
      </c>
      <c r="B78" s="21" t="s">
        <v>116</v>
      </c>
      <c r="O78" s="28"/>
      <c r="P78" s="28"/>
    </row>
    <row r="79" spans="1:22">
      <c r="B79" s="21"/>
      <c r="O79" s="29"/>
      <c r="P79" s="29"/>
    </row>
    <row r="80" spans="1:22">
      <c r="B80" s="21"/>
      <c r="O80" s="29"/>
      <c r="P80" s="29"/>
    </row>
    <row r="81" spans="2:21">
      <c r="B81" s="21"/>
      <c r="O81" s="28"/>
      <c r="P81" s="28"/>
    </row>
    <row r="82" spans="2:21">
      <c r="O82" s="28"/>
      <c r="P82" s="28"/>
    </row>
    <row r="83" spans="2:21">
      <c r="O83" s="28"/>
      <c r="P83" s="28"/>
    </row>
    <row r="84" spans="2:21">
      <c r="O84" s="28"/>
      <c r="P84" s="28"/>
    </row>
    <row r="85" spans="2:21">
      <c r="O85" s="28"/>
      <c r="P85" s="28"/>
    </row>
    <row r="86" spans="2:21">
      <c r="O86" s="28"/>
      <c r="P86" s="28"/>
    </row>
    <row r="87" spans="2:21">
      <c r="O87" s="28"/>
      <c r="P87" s="28"/>
    </row>
    <row r="88" spans="2:21">
      <c r="O88" s="29"/>
      <c r="P88" s="30"/>
    </row>
    <row r="89" spans="2:21">
      <c r="O89" s="29"/>
      <c r="P89" s="29"/>
    </row>
    <row r="90" spans="2:21">
      <c r="Q90" s="27"/>
      <c r="R90" s="27"/>
      <c r="S90" s="27"/>
      <c r="T90" s="27"/>
      <c r="U90" s="2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Standings  </vt:lpstr>
    </vt:vector>
  </TitlesOfParts>
  <Company>RCMP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johough</cp:lastModifiedBy>
  <dcterms:created xsi:type="dcterms:W3CDTF">2016-10-02T02:03:17Z</dcterms:created>
  <dcterms:modified xsi:type="dcterms:W3CDTF">2017-03-06T15:50:18Z</dcterms:modified>
</cp:coreProperties>
</file>