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19200" windowHeight="11610"/>
  </bookViews>
  <sheets>
    <sheet name="2015 Standings  " sheetId="1" r:id="rId1"/>
  </sheets>
  <calcPr calcId="162913"/>
</workbook>
</file>

<file path=xl/calcChain.xml><?xml version="1.0" encoding="utf-8"?>
<calcChain xmlns="http://schemas.openxmlformats.org/spreadsheetml/2006/main">
  <c r="U49" i="1" l="1"/>
  <c r="U17" i="1"/>
  <c r="U55" i="1"/>
  <c r="U24" i="1"/>
  <c r="P17" i="1"/>
  <c r="O17" i="1"/>
  <c r="Q49" i="1"/>
  <c r="P49" i="1"/>
  <c r="O49" i="1"/>
  <c r="V55" i="1"/>
  <c r="Q55" i="1"/>
  <c r="P55" i="1"/>
  <c r="O55" i="1"/>
  <c r="V24" i="1"/>
  <c r="S55" i="1"/>
  <c r="S24" i="1"/>
  <c r="P24" i="1"/>
  <c r="O24" i="1"/>
  <c r="M49" i="1"/>
  <c r="L49" i="1"/>
  <c r="M55" i="1"/>
  <c r="L55" i="1"/>
  <c r="F55" i="1"/>
  <c r="M24" i="1"/>
  <c r="L24" i="1"/>
  <c r="M17" i="1"/>
  <c r="L17" i="1"/>
  <c r="A55" i="1"/>
  <c r="U39" i="1" l="1"/>
  <c r="U14" i="1"/>
  <c r="U19" i="1"/>
  <c r="U18" i="1"/>
  <c r="V39" i="1"/>
  <c r="V14" i="1"/>
  <c r="Q14" i="1"/>
  <c r="V19" i="1"/>
  <c r="Q19" i="1"/>
  <c r="V18" i="1"/>
  <c r="Q18" i="1"/>
  <c r="S18" i="1"/>
  <c r="S19" i="1"/>
  <c r="S14" i="1"/>
  <c r="S39" i="1"/>
  <c r="P39" i="1"/>
  <c r="O39" i="1"/>
  <c r="P14" i="1"/>
  <c r="O14" i="1"/>
  <c r="P19" i="1"/>
  <c r="O19" i="1"/>
  <c r="P18" i="1"/>
  <c r="O18" i="1"/>
  <c r="U12" i="1"/>
  <c r="U23" i="1"/>
  <c r="U8" i="1"/>
  <c r="U42" i="1"/>
  <c r="Q12" i="1"/>
  <c r="V8" i="1"/>
  <c r="Q8" i="1"/>
  <c r="V42" i="1"/>
  <c r="V23" i="1"/>
  <c r="Q23" i="1"/>
  <c r="P12" i="1"/>
  <c r="O12" i="1"/>
  <c r="P8" i="1"/>
  <c r="O8" i="1"/>
  <c r="P42" i="1"/>
  <c r="O42" i="1"/>
  <c r="P23" i="1"/>
  <c r="O23" i="1"/>
  <c r="U48" i="1"/>
  <c r="U43" i="1"/>
  <c r="U21" i="1"/>
  <c r="U13" i="1"/>
  <c r="V48" i="1"/>
  <c r="V43" i="1"/>
  <c r="Q43" i="1"/>
  <c r="V21" i="1"/>
  <c r="Q21" i="1"/>
  <c r="Q13" i="1"/>
  <c r="S48" i="1"/>
  <c r="S43" i="1"/>
  <c r="P48" i="1"/>
  <c r="O48" i="1"/>
  <c r="P21" i="1"/>
  <c r="O21" i="1"/>
  <c r="P43" i="1"/>
  <c r="O43" i="1"/>
  <c r="P13" i="1"/>
  <c r="O13" i="1"/>
  <c r="U40" i="1"/>
  <c r="U6" i="1"/>
  <c r="V40" i="1"/>
  <c r="Q6" i="1"/>
  <c r="V17" i="1"/>
  <c r="S40" i="1"/>
  <c r="P40" i="1"/>
  <c r="O40" i="1"/>
  <c r="P6" i="1"/>
  <c r="O6" i="1"/>
  <c r="M39" i="1" l="1"/>
  <c r="L39" i="1"/>
  <c r="M42" i="1"/>
  <c r="L42" i="1"/>
  <c r="M23" i="1"/>
  <c r="L23" i="1"/>
  <c r="M19" i="1"/>
  <c r="L19" i="1"/>
  <c r="M18" i="1"/>
  <c r="L18" i="1"/>
  <c r="M14" i="1"/>
  <c r="L14" i="1"/>
  <c r="M12" i="1"/>
  <c r="L12" i="1"/>
  <c r="M8" i="1"/>
  <c r="L8" i="1"/>
  <c r="M43" i="1"/>
  <c r="L43" i="1"/>
  <c r="M40" i="1"/>
  <c r="L40" i="1"/>
  <c r="M6" i="1"/>
  <c r="L6" i="1"/>
  <c r="M48" i="1"/>
  <c r="L48" i="1"/>
  <c r="M21" i="1"/>
  <c r="L21" i="1"/>
  <c r="M13" i="1"/>
  <c r="L13" i="1"/>
  <c r="U5" i="1"/>
  <c r="U10" i="1"/>
  <c r="U50" i="1"/>
  <c r="V5" i="1"/>
  <c r="Q5" i="1"/>
  <c r="V10" i="1"/>
  <c r="Q10" i="1"/>
  <c r="V50" i="1"/>
  <c r="Q50" i="1"/>
  <c r="S5" i="1"/>
  <c r="P5" i="1"/>
  <c r="O5" i="1"/>
  <c r="P10" i="1"/>
  <c r="O10" i="1"/>
  <c r="P50" i="1"/>
  <c r="O50" i="1"/>
  <c r="U46" i="1"/>
  <c r="T8" i="1"/>
  <c r="V13" i="1"/>
  <c r="V46" i="1"/>
  <c r="Q46" i="1"/>
  <c r="R13" i="1"/>
  <c r="R8" i="1"/>
  <c r="S45" i="1"/>
  <c r="R45" i="1"/>
  <c r="R18" i="1"/>
  <c r="P46" i="1"/>
  <c r="O46" i="1"/>
  <c r="U45" i="1"/>
  <c r="Q24" i="1"/>
  <c r="R14" i="1"/>
  <c r="R24" i="1"/>
  <c r="P45" i="1"/>
  <c r="O45" i="1"/>
  <c r="U51" i="1"/>
  <c r="U44" i="1"/>
  <c r="U16" i="1"/>
  <c r="V51" i="1"/>
  <c r="Q51" i="1"/>
  <c r="V44" i="1"/>
  <c r="Q44" i="1"/>
  <c r="V16" i="1"/>
  <c r="Q16" i="1"/>
  <c r="S51" i="1"/>
  <c r="P51" i="1"/>
  <c r="O51" i="1"/>
  <c r="P44" i="1"/>
  <c r="O44" i="1"/>
  <c r="P16" i="1"/>
  <c r="O16" i="1"/>
  <c r="M5" i="1"/>
  <c r="L5" i="1"/>
  <c r="M46" i="1" l="1"/>
  <c r="L46" i="1"/>
  <c r="M50" i="1" l="1"/>
  <c r="L50" i="1"/>
  <c r="A50" i="1"/>
  <c r="F50" i="1"/>
  <c r="M10" i="1"/>
  <c r="L10" i="1"/>
  <c r="U11" i="1"/>
  <c r="U20" i="1"/>
  <c r="U7" i="1"/>
  <c r="V11" i="1"/>
  <c r="Q11" i="1"/>
  <c r="V20" i="1"/>
  <c r="Q20" i="1"/>
  <c r="V7" i="1"/>
  <c r="Q7" i="1"/>
  <c r="R7" i="1"/>
  <c r="R6" i="1"/>
  <c r="P11" i="1"/>
  <c r="O11" i="1"/>
  <c r="P20" i="1"/>
  <c r="O20" i="1"/>
  <c r="P7" i="1"/>
  <c r="O7" i="1"/>
  <c r="U22" i="1"/>
  <c r="V22" i="1"/>
  <c r="Q22" i="1"/>
  <c r="P22" i="1"/>
  <c r="O22" i="1"/>
  <c r="M45" i="1"/>
  <c r="L45" i="1"/>
  <c r="A48" i="1"/>
  <c r="F48" i="1"/>
  <c r="M51" i="1"/>
  <c r="L51" i="1"/>
  <c r="A51" i="1"/>
  <c r="F51" i="1"/>
  <c r="M44" i="1"/>
  <c r="L44" i="1"/>
  <c r="M16" i="1"/>
  <c r="L16" i="1"/>
  <c r="L20" i="1"/>
  <c r="M20" i="1"/>
  <c r="M11" i="1"/>
  <c r="L11" i="1"/>
  <c r="M7" i="1"/>
  <c r="L7" i="1"/>
  <c r="Q17" i="1"/>
  <c r="S21" i="1"/>
  <c r="U9" i="1"/>
  <c r="V12" i="1"/>
  <c r="V9" i="1"/>
  <c r="Q9" i="1"/>
  <c r="P9" i="1"/>
  <c r="O9" i="1"/>
  <c r="U52" i="1"/>
  <c r="Q52" i="1"/>
  <c r="S23" i="1"/>
  <c r="P52" i="1"/>
  <c r="O52" i="1"/>
  <c r="T6" i="1"/>
  <c r="S46" i="1"/>
  <c r="T11" i="1"/>
  <c r="R11" i="1"/>
  <c r="R12" i="1"/>
  <c r="M52" i="1" l="1"/>
  <c r="L52" i="1"/>
  <c r="A52" i="1"/>
  <c r="F52" i="1"/>
  <c r="M9" i="1" l="1"/>
  <c r="L9" i="1"/>
  <c r="A46" i="1"/>
  <c r="F46" i="1"/>
  <c r="M22" i="1" l="1"/>
  <c r="L22" i="1"/>
  <c r="R17" i="1"/>
  <c r="R9" i="1"/>
  <c r="Q42" i="1"/>
  <c r="K65" i="1"/>
  <c r="J65" i="1"/>
  <c r="I65" i="1"/>
  <c r="E65" i="1"/>
  <c r="D65" i="1"/>
  <c r="C65" i="1"/>
  <c r="M59" i="1"/>
  <c r="F59" i="1"/>
  <c r="A59" i="1"/>
  <c r="M58" i="1"/>
  <c r="F58" i="1"/>
  <c r="A58" i="1"/>
  <c r="F49" i="1"/>
  <c r="A49" i="1"/>
  <c r="M57" i="1"/>
  <c r="F57" i="1"/>
  <c r="A57" i="1"/>
  <c r="M56" i="1"/>
  <c r="F56" i="1"/>
  <c r="A56" i="1"/>
  <c r="M54" i="1"/>
  <c r="F54" i="1"/>
  <c r="A54" i="1"/>
  <c r="M53" i="1"/>
  <c r="F53" i="1"/>
  <c r="A53" i="1"/>
  <c r="F43" i="1"/>
  <c r="A43" i="1"/>
  <c r="F45" i="1"/>
  <c r="A45" i="1"/>
  <c r="F44" i="1"/>
  <c r="A44" i="1"/>
  <c r="M47" i="1"/>
  <c r="F47" i="1"/>
  <c r="A47" i="1"/>
  <c r="F42" i="1"/>
  <c r="A42" i="1"/>
  <c r="F39" i="1"/>
  <c r="A39" i="1"/>
  <c r="F40" i="1"/>
  <c r="A40" i="1"/>
  <c r="M41" i="1"/>
  <c r="F41" i="1"/>
  <c r="A41" i="1"/>
  <c r="F24" i="1"/>
  <c r="F23" i="1"/>
  <c r="F22" i="1"/>
  <c r="F21" i="1"/>
  <c r="F17" i="1"/>
  <c r="F12" i="1"/>
  <c r="F19" i="1"/>
  <c r="F13" i="1"/>
  <c r="F20" i="1"/>
  <c r="F9" i="1"/>
  <c r="F14" i="1"/>
  <c r="F16" i="1"/>
  <c r="M15" i="1"/>
  <c r="F15" i="1"/>
  <c r="T65" i="1"/>
  <c r="F10" i="1"/>
  <c r="F18" i="1"/>
  <c r="F7" i="1"/>
  <c r="F8" i="1"/>
  <c r="F6" i="1"/>
  <c r="F11" i="1"/>
  <c r="S65" i="1"/>
  <c r="F5" i="1"/>
  <c r="R65" i="1" l="1"/>
  <c r="U65" i="1"/>
  <c r="V65" i="1"/>
  <c r="Q65" i="1"/>
  <c r="L65" i="1"/>
  <c r="F65" i="1"/>
  <c r="M65" i="1"/>
</calcChain>
</file>

<file path=xl/sharedStrings.xml><?xml version="1.0" encoding="utf-8"?>
<sst xmlns="http://schemas.openxmlformats.org/spreadsheetml/2006/main" count="160" uniqueCount="114">
  <si>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</si>
  <si>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</si>
  <si>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</si>
  <si>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</si>
  <si>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</si>
  <si>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</si>
  <si>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</si>
  <si>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</si>
  <si>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</si>
  <si>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</si>
  <si>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</si>
  <si>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</si>
  <si>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</si>
  <si>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</si>
  <si>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</si>
  <si>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</si>
  <si>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</si>
  <si>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</si>
  <si>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</si>
  <si>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Mole</t>
  </si>
  <si>
    <t>1W</t>
  </si>
  <si>
    <t xml:space="preserve">Yahk </t>
  </si>
  <si>
    <t>Kodiak</t>
  </si>
  <si>
    <t>Hound</t>
  </si>
  <si>
    <t>3L</t>
  </si>
  <si>
    <t>Ram</t>
  </si>
  <si>
    <t>2L</t>
  </si>
  <si>
    <t>Eel</t>
  </si>
  <si>
    <t>Fawn</t>
  </si>
  <si>
    <t>Yorkie</t>
  </si>
  <si>
    <t>1L</t>
  </si>
  <si>
    <t>Eagle</t>
  </si>
  <si>
    <t>Wolf</t>
  </si>
  <si>
    <t>Bobcat</t>
  </si>
  <si>
    <t>3W</t>
  </si>
  <si>
    <t>Moose</t>
  </si>
  <si>
    <t>Harrier</t>
  </si>
  <si>
    <t>Herron</t>
  </si>
  <si>
    <t>Panda</t>
  </si>
  <si>
    <t>Hamster</t>
  </si>
  <si>
    <t>Woodpecker</t>
  </si>
  <si>
    <t>Owl</t>
  </si>
  <si>
    <t>Silver</t>
  </si>
  <si>
    <t>Javelina</t>
  </si>
  <si>
    <t>GP</t>
  </si>
  <si>
    <t>Possum</t>
  </si>
  <si>
    <t>Buffalo</t>
  </si>
  <si>
    <t>Tortoise</t>
  </si>
  <si>
    <t>Pup</t>
  </si>
  <si>
    <t>Wallaby</t>
  </si>
  <si>
    <t>Slug</t>
  </si>
  <si>
    <t>Shrew</t>
  </si>
  <si>
    <t>Wildebeest</t>
  </si>
  <si>
    <t>Culpeo</t>
  </si>
  <si>
    <t>Whale</t>
  </si>
  <si>
    <t>Hedgehog</t>
  </si>
  <si>
    <t>Gecko</t>
  </si>
  <si>
    <t>Turtle</t>
  </si>
  <si>
    <t>Anaconda</t>
  </si>
  <si>
    <t>Polar</t>
  </si>
  <si>
    <t>Record Streaks</t>
  </si>
  <si>
    <t>Mule</t>
  </si>
  <si>
    <t>7L</t>
  </si>
  <si>
    <t>Eel - 16 Ws</t>
  </si>
  <si>
    <t>Eel - 13 Ls</t>
  </si>
  <si>
    <t>plus/minus over 500</t>
  </si>
  <si>
    <t>Eag +20</t>
  </si>
  <si>
    <t>Wolf -26</t>
  </si>
  <si>
    <t>Jav - 69</t>
  </si>
  <si>
    <t>Kodiak - 67</t>
  </si>
  <si>
    <t>Kodiak - 66</t>
  </si>
  <si>
    <t>Moose - 68</t>
  </si>
  <si>
    <t>Bob - 68</t>
  </si>
  <si>
    <t>6W</t>
  </si>
  <si>
    <t>Crane</t>
  </si>
  <si>
    <t>2W</t>
  </si>
  <si>
    <t>PL</t>
  </si>
  <si>
    <t>Harry/Pand over Mole/Jav after 13. Win D + no</t>
  </si>
  <si>
    <t>Jav - 83</t>
  </si>
  <si>
    <t>Hedge -83</t>
  </si>
  <si>
    <t>Hedge -92</t>
  </si>
  <si>
    <t>Ram - 69</t>
  </si>
  <si>
    <t>Bob/Eag over Hound/Eel after 12. Double + No halved</t>
  </si>
  <si>
    <t>SOM</t>
  </si>
  <si>
    <t>Kodiak holing out from 115 on 15.</t>
  </si>
  <si>
    <t>Crane - 68</t>
  </si>
  <si>
    <t>Pand - 69</t>
  </si>
  <si>
    <t>Harry - 68</t>
  </si>
  <si>
    <t>FLAG</t>
  </si>
  <si>
    <t>Hound for Ram</t>
  </si>
  <si>
    <t>4L</t>
  </si>
  <si>
    <t>T4</t>
  </si>
  <si>
    <t>Newt</t>
  </si>
  <si>
    <t>Crow</t>
  </si>
  <si>
    <t>Kodiak - 69</t>
  </si>
  <si>
    <t>Giraffe</t>
  </si>
  <si>
    <t xml:space="preserve">10S </t>
  </si>
  <si>
    <t>Mole 10 shotted Jav</t>
  </si>
  <si>
    <t>DGH</t>
  </si>
  <si>
    <t>Eel/Hedge/harry/hound on 17...hound with the double dot</t>
  </si>
  <si>
    <t>Back to back by Eel/Hedge (10,11)</t>
  </si>
  <si>
    <t>Harry/Pecker over Beest/Crow. Lose D + No</t>
  </si>
  <si>
    <t>T17</t>
  </si>
  <si>
    <t>5W</t>
  </si>
  <si>
    <t>5L</t>
  </si>
  <si>
    <t>Jav - 83 (Ironman)</t>
  </si>
  <si>
    <t>8W</t>
  </si>
  <si>
    <t>T11</t>
  </si>
  <si>
    <t>T15</t>
  </si>
  <si>
    <t>Pand -69</t>
  </si>
  <si>
    <t>DBH</t>
  </si>
  <si>
    <t>Eel/Herron/Wolf/Tort on 3</t>
  </si>
  <si>
    <t>Marmot</t>
  </si>
  <si>
    <t>T13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</si>
</sst>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0" fontId="1" fillId="6" borderId="1" xfId="0" applyFont="1" applyFill="1" applyBorder="1"/>
    <xf numFmtId="0" fontId="2" fillId="6" borderId="0" xfId="0" applyFont="1" applyFill="1" applyAlignment="1">
      <alignment horizontal="right"/>
    </xf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0" fillId="0" borderId="0" xfId="0" applyNumberFormat="1"/>
    <xf numFmtId="4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0" borderId="0" xfId="0" applyNumberForma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tabSelected="1" zoomScale="90" zoomScaleNormal="90" workbookViewId="0">
      <selection activeCell="U50" sqref="U50"/>
    </sheetView>
  </sheetViews>
  <sheetFormatPr defaultRowHeight="15" x14ac:dyDescent="0.25"/>
  <cols>
    <col min="1" max="1" width="7.85546875" style="1" bestFit="1" customWidth="1"/>
    <col min="2" max="2" width="16.5703125" bestFit="1" customWidth="1"/>
    <col min="3" max="4" width="5" bestFit="1" customWidth="1"/>
    <col min="5" max="5" width="4.5703125" bestFit="1" customWidth="1"/>
    <col min="6" max="7" width="8.7109375" customWidth="1"/>
    <col min="8" max="8" width="8.7109375" bestFit="1" customWidth="1"/>
    <col min="9" max="9" width="4.28515625" bestFit="1" customWidth="1"/>
    <col min="10" max="10" width="4" bestFit="1" customWidth="1"/>
    <col min="11" max="11" width="2.7109375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 x14ac:dyDescent="0.25">
      <c r="O1" s="2"/>
      <c r="P1" s="2"/>
      <c r="Q1" s="3"/>
      <c r="R1" s="3"/>
      <c r="S1" s="3"/>
      <c r="T1" s="3"/>
      <c r="U1" s="3"/>
      <c r="V1" s="3"/>
    </row>
    <row r="2" spans="1:27" x14ac:dyDescent="0.25">
      <c r="B2" t="s">
        <v>0</v>
      </c>
      <c r="E2" t="s">
        <v>1</v>
      </c>
      <c r="I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 x14ac:dyDescent="0.25">
      <c r="H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 x14ac:dyDescent="0.25">
      <c r="O4" s="4"/>
      <c r="P4" s="4"/>
      <c r="Q4" s="3"/>
      <c r="R4" s="3"/>
      <c r="S4" s="3"/>
      <c r="T4" s="3"/>
      <c r="U4" s="3"/>
      <c r="V4" s="3"/>
      <c r="W4" t="s">
        <v>69</v>
      </c>
      <c r="X4" t="s">
        <v>70</v>
      </c>
      <c r="Z4" t="s">
        <v>80</v>
      </c>
      <c r="AA4" t="s">
        <v>78</v>
      </c>
    </row>
    <row r="5" spans="1:27" x14ac:dyDescent="0.25">
      <c r="A5" s="5">
        <v>1</v>
      </c>
      <c r="B5" s="6" t="s">
        <v>19</v>
      </c>
      <c r="C5" s="6">
        <v>16</v>
      </c>
      <c r="D5" s="6">
        <v>7</v>
      </c>
      <c r="E5" s="6"/>
      <c r="F5" s="6">
        <f t="shared" ref="F5:F11" si="0">C5-D5</f>
        <v>9</v>
      </c>
      <c r="G5" s="6"/>
      <c r="H5" s="7" t="s">
        <v>30</v>
      </c>
      <c r="I5" s="6">
        <v>1</v>
      </c>
      <c r="J5" s="6">
        <v>2</v>
      </c>
      <c r="K5" s="6"/>
      <c r="L5" s="7">
        <f>-2+1+1</f>
        <v>0</v>
      </c>
      <c r="M5" s="7">
        <f>1+2+0+0+2+3+0-2-1+0+2+0+0+2-1+1+1-1-1+1-2+1+1</f>
        <v>9</v>
      </c>
      <c r="O5" s="4">
        <f>(82+75+78)/3</f>
        <v>78.333333333333329</v>
      </c>
      <c r="P5" s="4">
        <f>(78+70+73)/3</f>
        <v>73.666666666666671</v>
      </c>
      <c r="Q5" s="3">
        <f>2+2+2</f>
        <v>6</v>
      </c>
      <c r="R5" s="3"/>
      <c r="S5" s="3">
        <f>2+1+1</f>
        <v>4</v>
      </c>
      <c r="T5" s="3"/>
      <c r="U5" s="3">
        <f>1.5-5-3.75</f>
        <v>-7.25</v>
      </c>
      <c r="V5" s="3">
        <f>3+2+2</f>
        <v>7</v>
      </c>
      <c r="W5" t="s">
        <v>72</v>
      </c>
      <c r="X5" t="s">
        <v>71</v>
      </c>
      <c r="AA5" t="s">
        <v>79</v>
      </c>
    </row>
    <row r="6" spans="1:27" x14ac:dyDescent="0.25">
      <c r="A6" s="5">
        <v>2</v>
      </c>
      <c r="B6" s="6" t="s">
        <v>22</v>
      </c>
      <c r="C6" s="6">
        <v>11</v>
      </c>
      <c r="D6" s="6">
        <v>3</v>
      </c>
      <c r="E6" s="6"/>
      <c r="F6" s="6">
        <f t="shared" si="0"/>
        <v>8</v>
      </c>
      <c r="G6" s="6"/>
      <c r="H6" s="7" t="s">
        <v>103</v>
      </c>
      <c r="I6" s="6">
        <v>4</v>
      </c>
      <c r="J6" s="6">
        <v>0</v>
      </c>
      <c r="K6" s="6"/>
      <c r="L6" s="6">
        <f>1+1+2+1</f>
        <v>5</v>
      </c>
      <c r="M6" s="6">
        <f>0+2+1+3-2+1-0+0-1+2+1+1+2+1</f>
        <v>11</v>
      </c>
      <c r="O6" s="4">
        <f>(67+72+69+73)/4</f>
        <v>70.25</v>
      </c>
      <c r="P6" s="4">
        <f>(66+72+69+73)/4</f>
        <v>70</v>
      </c>
      <c r="Q6" s="3">
        <f>7+2+4+4</f>
        <v>17</v>
      </c>
      <c r="R6" s="3">
        <f>1</f>
        <v>1</v>
      </c>
      <c r="S6" s="3"/>
      <c r="T6" s="3">
        <f>1</f>
        <v>1</v>
      </c>
      <c r="U6" s="3">
        <f>-4.25-4.75-3.25-1.75</f>
        <v>-14</v>
      </c>
      <c r="V6" s="3"/>
      <c r="W6" t="s">
        <v>87</v>
      </c>
      <c r="X6" t="s">
        <v>87</v>
      </c>
      <c r="AA6" t="s">
        <v>105</v>
      </c>
    </row>
    <row r="7" spans="1:27" x14ac:dyDescent="0.25">
      <c r="A7" s="5">
        <v>3</v>
      </c>
      <c r="B7" s="6" t="s">
        <v>25</v>
      </c>
      <c r="C7" s="6">
        <v>10</v>
      </c>
      <c r="D7" s="6">
        <v>5</v>
      </c>
      <c r="E7" s="6"/>
      <c r="F7" s="6">
        <f>C7-D7</f>
        <v>5</v>
      </c>
      <c r="G7" s="6"/>
      <c r="H7" s="7" t="s">
        <v>75</v>
      </c>
      <c r="I7" s="6">
        <v>2</v>
      </c>
      <c r="J7" s="6">
        <v>0</v>
      </c>
      <c r="K7" s="6"/>
      <c r="L7" s="6">
        <f>1+2</f>
        <v>3</v>
      </c>
      <c r="M7" s="6">
        <f>1+0+2+0+1+1-2+2-2+2+3-2-1+1+2</f>
        <v>8</v>
      </c>
      <c r="O7" s="4">
        <f>(69+71)/2</f>
        <v>70</v>
      </c>
      <c r="P7" s="4">
        <f>(71+73)/2</f>
        <v>72</v>
      </c>
      <c r="Q7" s="3">
        <f>5+6</f>
        <v>11</v>
      </c>
      <c r="R7" s="3">
        <f>1+1</f>
        <v>2</v>
      </c>
      <c r="S7" s="3"/>
      <c r="T7" s="3"/>
      <c r="U7" s="3">
        <f>-0.75+0.75</f>
        <v>0</v>
      </c>
      <c r="V7" s="3">
        <f>2+1</f>
        <v>3</v>
      </c>
      <c r="W7" t="s">
        <v>81</v>
      </c>
      <c r="X7" t="s">
        <v>85</v>
      </c>
    </row>
    <row r="8" spans="1:27" x14ac:dyDescent="0.25">
      <c r="A8" s="8" t="s">
        <v>91</v>
      </c>
      <c r="B8" s="9" t="s">
        <v>23</v>
      </c>
      <c r="C8" s="9">
        <v>15</v>
      </c>
      <c r="D8" s="9">
        <v>12</v>
      </c>
      <c r="E8" s="9"/>
      <c r="F8" s="9">
        <f>C8-D8</f>
        <v>3</v>
      </c>
      <c r="G8" s="9"/>
      <c r="H8" s="10" t="s">
        <v>75</v>
      </c>
      <c r="I8" s="9">
        <v>2</v>
      </c>
      <c r="J8" s="9">
        <v>2</v>
      </c>
      <c r="K8" s="9"/>
      <c r="L8" s="10">
        <f>-1-1+0+2</f>
        <v>0</v>
      </c>
      <c r="M8" s="10">
        <f>1-1+1+2-1+0-1-0+1+1+2+2-0+2+1-0+2+0-1+1-0-0-0-1-1+0+2</f>
        <v>12</v>
      </c>
      <c r="O8" s="4">
        <f>(80+80+83+81)/4</f>
        <v>81</v>
      </c>
      <c r="P8" s="4">
        <f>(75+75+78+76)/4</f>
        <v>76</v>
      </c>
      <c r="Q8" s="3">
        <f>1+1+3</f>
        <v>5</v>
      </c>
      <c r="R8" s="3">
        <f>1</f>
        <v>1</v>
      </c>
      <c r="S8" s="3"/>
      <c r="T8" s="3">
        <f>1</f>
        <v>1</v>
      </c>
      <c r="U8" s="3">
        <f>0.25-0.25-0.75+0.75</f>
        <v>0</v>
      </c>
      <c r="V8" s="3">
        <f>3+2+4+2</f>
        <v>11</v>
      </c>
      <c r="W8" t="s">
        <v>94</v>
      </c>
      <c r="X8" t="s">
        <v>68</v>
      </c>
    </row>
    <row r="9" spans="1:27" x14ac:dyDescent="0.25">
      <c r="A9" s="8" t="s">
        <v>91</v>
      </c>
      <c r="B9" s="9" t="s">
        <v>33</v>
      </c>
      <c r="C9" s="9">
        <v>7</v>
      </c>
      <c r="D9" s="9">
        <v>4</v>
      </c>
      <c r="E9" s="9"/>
      <c r="F9" s="9">
        <f>C9-D9</f>
        <v>3</v>
      </c>
      <c r="G9" s="9"/>
      <c r="H9" s="10" t="s">
        <v>73</v>
      </c>
      <c r="I9" s="9">
        <v>3</v>
      </c>
      <c r="J9" s="9">
        <v>0</v>
      </c>
      <c r="K9" s="9"/>
      <c r="L9" s="9">
        <f>1+1+1</f>
        <v>3</v>
      </c>
      <c r="M9" s="9">
        <f>0-0+1+1-2+3+1+1+1+1+1</f>
        <v>8</v>
      </c>
      <c r="O9" s="4">
        <f>(68+70+70)/3</f>
        <v>69.333333333333329</v>
      </c>
      <c r="P9" s="4">
        <f>(71+73+73)/3</f>
        <v>72.333333333333329</v>
      </c>
      <c r="Q9" s="3">
        <f>4+2+4</f>
        <v>10</v>
      </c>
      <c r="R9" s="3">
        <f>1</f>
        <v>1</v>
      </c>
      <c r="S9" s="3"/>
      <c r="T9" s="3"/>
      <c r="U9" s="3">
        <f>-3.75-2.25-0.25</f>
        <v>-6.25</v>
      </c>
      <c r="V9" s="3">
        <f>1</f>
        <v>1</v>
      </c>
      <c r="X9" t="s">
        <v>86</v>
      </c>
    </row>
    <row r="10" spans="1:27" x14ac:dyDescent="0.25">
      <c r="A10" s="8" t="s">
        <v>91</v>
      </c>
      <c r="B10" s="9" t="s">
        <v>28</v>
      </c>
      <c r="C10" s="9">
        <v>8</v>
      </c>
      <c r="D10" s="9">
        <v>5</v>
      </c>
      <c r="E10" s="30"/>
      <c r="F10" s="9">
        <f>C10-D10</f>
        <v>3</v>
      </c>
      <c r="G10" s="9"/>
      <c r="H10" s="10" t="s">
        <v>20</v>
      </c>
      <c r="I10" s="9">
        <v>1</v>
      </c>
      <c r="J10" s="9">
        <v>0</v>
      </c>
      <c r="K10" s="30"/>
      <c r="L10" s="10">
        <f>2</f>
        <v>2</v>
      </c>
      <c r="M10" s="10">
        <f>2-0-3-1+2+1+1+2+1+1-0-2+2</f>
        <v>6</v>
      </c>
      <c r="O10" s="4">
        <f>84</f>
        <v>84</v>
      </c>
      <c r="P10" s="4">
        <f>77</f>
        <v>77</v>
      </c>
      <c r="Q10" s="3">
        <f>1</f>
        <v>1</v>
      </c>
      <c r="R10" s="3"/>
      <c r="S10" s="3"/>
      <c r="T10" s="3"/>
      <c r="U10" s="3">
        <f>0.25</f>
        <v>0.25</v>
      </c>
      <c r="V10" s="3">
        <f>4</f>
        <v>4</v>
      </c>
      <c r="X10" t="s">
        <v>68</v>
      </c>
    </row>
    <row r="11" spans="1:27" x14ac:dyDescent="0.25">
      <c r="A11" s="8" t="s">
        <v>91</v>
      </c>
      <c r="B11" s="9" t="s">
        <v>21</v>
      </c>
      <c r="C11" s="9">
        <v>9</v>
      </c>
      <c r="D11" s="9">
        <v>6</v>
      </c>
      <c r="E11" s="9"/>
      <c r="F11" s="9">
        <f t="shared" si="0"/>
        <v>3</v>
      </c>
      <c r="G11" s="9"/>
      <c r="H11" s="10" t="s">
        <v>26</v>
      </c>
      <c r="I11" s="9">
        <v>1</v>
      </c>
      <c r="J11" s="9">
        <v>4</v>
      </c>
      <c r="K11" s="9"/>
      <c r="L11" s="9">
        <f>-1-1+1-1+0</f>
        <v>-2</v>
      </c>
      <c r="M11" s="9">
        <f>2+1+2+1+1+0-1-1+1+1-1-1+1-1+0</f>
        <v>5</v>
      </c>
      <c r="O11" s="4">
        <f>(76+81+73+76+75)/5</f>
        <v>76.2</v>
      </c>
      <c r="P11" s="4">
        <f>(73+78+70+74+73)/5</f>
        <v>73.599999999999994</v>
      </c>
      <c r="Q11" s="3">
        <f>2+1+2+1+3</f>
        <v>9</v>
      </c>
      <c r="R11" s="3">
        <f>1</f>
        <v>1</v>
      </c>
      <c r="S11" s="3"/>
      <c r="T11" s="3">
        <f>1</f>
        <v>1</v>
      </c>
      <c r="U11" s="3">
        <f>2.5+3.25-1.75+0.75+0.75</f>
        <v>5.5</v>
      </c>
      <c r="V11" s="3">
        <f>1+2+2</f>
        <v>5</v>
      </c>
      <c r="X11" t="s">
        <v>94</v>
      </c>
    </row>
    <row r="12" spans="1:27" x14ac:dyDescent="0.25">
      <c r="A12" s="8" t="s">
        <v>91</v>
      </c>
      <c r="B12" s="9" t="s">
        <v>38</v>
      </c>
      <c r="C12" s="9">
        <v>12</v>
      </c>
      <c r="D12" s="9">
        <v>9</v>
      </c>
      <c r="E12" s="9"/>
      <c r="F12" s="9">
        <f t="shared" ref="F12" si="1">C12-D12</f>
        <v>3</v>
      </c>
      <c r="G12" s="9"/>
      <c r="H12" s="10" t="s">
        <v>106</v>
      </c>
      <c r="I12" s="9">
        <v>5</v>
      </c>
      <c r="J12" s="9">
        <v>0</v>
      </c>
      <c r="K12" s="9"/>
      <c r="L12" s="10">
        <f>1+2+1+0+2</f>
        <v>6</v>
      </c>
      <c r="M12" s="10">
        <f>-1+1+1-1-0-0+2+0-1-2-2-1-1+1+1+1+1+2+1+0+2</f>
        <v>4</v>
      </c>
      <c r="O12" s="4">
        <f>(74+77+73+75+73)/5</f>
        <v>74.400000000000006</v>
      </c>
      <c r="P12" s="4">
        <f>(70+73+69+71+69)/5</f>
        <v>70.400000000000006</v>
      </c>
      <c r="Q12" s="3">
        <f>3+1+1+1</f>
        <v>6</v>
      </c>
      <c r="R12" s="3">
        <f>1</f>
        <v>1</v>
      </c>
      <c r="S12" s="3"/>
      <c r="T12" s="3"/>
      <c r="U12" s="3">
        <f>-0.5-3.5-4.25+0.25-6.25</f>
        <v>-14.25</v>
      </c>
      <c r="V12" s="3">
        <f>2+1+1</f>
        <v>4</v>
      </c>
      <c r="X12" t="s">
        <v>109</v>
      </c>
    </row>
    <row r="13" spans="1:27" x14ac:dyDescent="0.25">
      <c r="A13" s="8" t="s">
        <v>91</v>
      </c>
      <c r="B13" s="9" t="s">
        <v>36</v>
      </c>
      <c r="C13" s="9">
        <v>18</v>
      </c>
      <c r="D13" s="9">
        <v>15</v>
      </c>
      <c r="E13" s="9">
        <v>1</v>
      </c>
      <c r="F13" s="9">
        <f t="shared" ref="F13" si="2">C13-D13</f>
        <v>3</v>
      </c>
      <c r="G13" s="9"/>
      <c r="H13" s="10" t="s">
        <v>75</v>
      </c>
      <c r="I13" s="9">
        <v>5</v>
      </c>
      <c r="J13" s="9">
        <v>2</v>
      </c>
      <c r="K13" s="9"/>
      <c r="L13" s="10">
        <f>1+2-1+1-1+0+0</f>
        <v>2</v>
      </c>
      <c r="M13" s="10">
        <f>1+1+1-0-3+2-1+0-1-0+1-3-1-1-2-2+1+1-1-2+1-1+1+1+1+0+1+2-1+1-1+0+0</f>
        <v>-4</v>
      </c>
      <c r="O13" s="4">
        <f>(72+72+73+68+75+76+73)/7</f>
        <v>72.714285714285708</v>
      </c>
      <c r="P13" s="4">
        <f>(72+72+73+68+75+76+73)/7</f>
        <v>72.714285714285708</v>
      </c>
      <c r="Q13" s="3">
        <f>2+3+3+2+2+1+2</f>
        <v>15</v>
      </c>
      <c r="R13" s="3">
        <f>1+1</f>
        <v>2</v>
      </c>
      <c r="S13" s="3"/>
      <c r="T13" s="3"/>
      <c r="U13" s="3">
        <f>1.75-4.5+1.25-4-1-2.75-1.75</f>
        <v>-11</v>
      </c>
      <c r="V13" s="3">
        <f>1+1</f>
        <v>2</v>
      </c>
    </row>
    <row r="14" spans="1:27" x14ac:dyDescent="0.25">
      <c r="A14" s="11">
        <v>10</v>
      </c>
      <c r="B14" s="12" t="s">
        <v>32</v>
      </c>
      <c r="C14" s="12">
        <v>11</v>
      </c>
      <c r="D14" s="12">
        <v>9</v>
      </c>
      <c r="E14" s="12">
        <v>1</v>
      </c>
      <c r="F14" s="12">
        <f t="shared" ref="F14" si="3">C14-D14</f>
        <v>2</v>
      </c>
      <c r="G14" s="12"/>
      <c r="H14" s="14" t="s">
        <v>75</v>
      </c>
      <c r="I14" s="12">
        <v>2</v>
      </c>
      <c r="J14" s="12">
        <v>1</v>
      </c>
      <c r="K14" s="12"/>
      <c r="L14" s="14">
        <f>-1+1+0</f>
        <v>0</v>
      </c>
      <c r="M14" s="14">
        <f>-1+1+1-1+1-0+1+1-1+2+1-1+0-3-2-0+1-1+1+0</f>
        <v>0</v>
      </c>
      <c r="O14" s="4">
        <f>(78+80+84)/3</f>
        <v>80.666666666666671</v>
      </c>
      <c r="P14" s="4">
        <f>(70+72+76)/3</f>
        <v>72.666666666666671</v>
      </c>
      <c r="Q14" s="3">
        <f>1+1+1</f>
        <v>3</v>
      </c>
      <c r="R14" s="3">
        <f>1</f>
        <v>1</v>
      </c>
      <c r="S14" s="3">
        <f>1+2</f>
        <v>3</v>
      </c>
      <c r="T14" s="3"/>
      <c r="U14" s="3">
        <f>-0.5-1.75-1.25</f>
        <v>-3.5</v>
      </c>
      <c r="V14" s="3">
        <f>2+2+3</f>
        <v>7</v>
      </c>
    </row>
    <row r="15" spans="1:27" x14ac:dyDescent="0.25">
      <c r="A15" s="11" t="s">
        <v>107</v>
      </c>
      <c r="B15" s="12" t="s">
        <v>29</v>
      </c>
      <c r="C15" s="12">
        <v>5</v>
      </c>
      <c r="D15" s="12">
        <v>4</v>
      </c>
      <c r="E15" s="12"/>
      <c r="F15" s="12">
        <f>C15-D15</f>
        <v>1</v>
      </c>
      <c r="G15" s="12"/>
      <c r="H15" s="14" t="s">
        <v>30</v>
      </c>
      <c r="I15" s="12"/>
      <c r="J15" s="12"/>
      <c r="K15" s="12"/>
      <c r="L15" s="14"/>
      <c r="M15" s="14">
        <f>1+1+1-1+2-1-1+0-1</f>
        <v>1</v>
      </c>
      <c r="O15" s="4"/>
      <c r="P15" s="4"/>
      <c r="Q15" s="3"/>
      <c r="R15" s="3"/>
      <c r="S15" s="3"/>
      <c r="T15" s="3"/>
      <c r="U15" s="3"/>
      <c r="V15" s="3"/>
    </row>
    <row r="16" spans="1:27" x14ac:dyDescent="0.25">
      <c r="A16" s="11" t="s">
        <v>107</v>
      </c>
      <c r="B16" s="12" t="s">
        <v>31</v>
      </c>
      <c r="C16" s="12">
        <v>11</v>
      </c>
      <c r="D16" s="12">
        <v>10</v>
      </c>
      <c r="E16" s="12"/>
      <c r="F16" s="12">
        <f>C16-D16</f>
        <v>1</v>
      </c>
      <c r="G16" s="12"/>
      <c r="H16" s="14" t="s">
        <v>30</v>
      </c>
      <c r="I16" s="12">
        <v>1</v>
      </c>
      <c r="J16" s="12">
        <v>1</v>
      </c>
      <c r="K16" s="12"/>
      <c r="L16" s="14">
        <f>1-1</f>
        <v>0</v>
      </c>
      <c r="M16" s="14">
        <f>2-1-2+2+2+2-0+1+0-0+0-1-1+0-2-3+0+1-0+1-1</f>
        <v>0</v>
      </c>
      <c r="O16" s="4">
        <f>(70+81)/2</f>
        <v>75.5</v>
      </c>
      <c r="P16" s="4">
        <f>(72+82)/2</f>
        <v>77</v>
      </c>
      <c r="Q16" s="3">
        <f>5+1</f>
        <v>6</v>
      </c>
      <c r="R16" s="3"/>
      <c r="S16" s="3"/>
      <c r="T16" s="3"/>
      <c r="U16" s="3">
        <f>-3.25+7</f>
        <v>3.75</v>
      </c>
      <c r="V16" s="3">
        <f>2</f>
        <v>2</v>
      </c>
    </row>
    <row r="17" spans="1:22" x14ac:dyDescent="0.25">
      <c r="A17" s="11" t="s">
        <v>113</v>
      </c>
      <c r="B17" s="12" t="s">
        <v>39</v>
      </c>
      <c r="C17" s="12">
        <v>10</v>
      </c>
      <c r="D17" s="12">
        <v>11</v>
      </c>
      <c r="E17" s="12"/>
      <c r="F17" s="12">
        <f>C17-D17</f>
        <v>-1</v>
      </c>
      <c r="G17" s="12"/>
      <c r="H17" s="12" t="s">
        <v>30</v>
      </c>
      <c r="I17" s="12">
        <v>4</v>
      </c>
      <c r="J17" s="12">
        <v>2</v>
      </c>
      <c r="K17" s="12"/>
      <c r="L17" s="12">
        <f>1-1+1+1+1-1</f>
        <v>2</v>
      </c>
      <c r="M17" s="12">
        <f>-1+1-3-1+1+1-2+1+2+2-1-1-0-1-1+1-1+1+1+1-1</f>
        <v>-1</v>
      </c>
      <c r="O17" s="4">
        <f>(79+82+77+78+81+79)/6</f>
        <v>79.333333333333329</v>
      </c>
      <c r="P17" s="4">
        <f>(75+77+72+73+76+74)/6</f>
        <v>74.5</v>
      </c>
      <c r="Q17" s="3">
        <f>1+1+1</f>
        <v>3</v>
      </c>
      <c r="R17" s="3">
        <f>1</f>
        <v>1</v>
      </c>
      <c r="S17" s="3"/>
      <c r="T17" s="3"/>
      <c r="U17" s="3">
        <f>0.25+3.75+0-3+1.25+0</f>
        <v>2.25</v>
      </c>
      <c r="V17" s="3">
        <f>1+3+2+1+2</f>
        <v>9</v>
      </c>
    </row>
    <row r="18" spans="1:22" x14ac:dyDescent="0.25">
      <c r="A18" s="11" t="s">
        <v>113</v>
      </c>
      <c r="B18" s="12" t="s">
        <v>27</v>
      </c>
      <c r="C18" s="12">
        <v>13</v>
      </c>
      <c r="D18" s="12">
        <v>14</v>
      </c>
      <c r="E18" s="12"/>
      <c r="F18" s="12">
        <f t="shared" ref="F18:F23" si="4">C18-D18</f>
        <v>-1</v>
      </c>
      <c r="G18" s="12"/>
      <c r="H18" s="14" t="s">
        <v>90</v>
      </c>
      <c r="I18" s="12">
        <v>0</v>
      </c>
      <c r="J18" s="12">
        <v>4</v>
      </c>
      <c r="K18" s="12"/>
      <c r="L18" s="14">
        <f>-1-2-2-2</f>
        <v>-7</v>
      </c>
      <c r="M18" s="14">
        <f>-2+0-0-1+2+0+1+0+0-2+1+1-1-1-0+2+2-2-0+1-0-1+1-1-2-2-2</f>
        <v>-6</v>
      </c>
      <c r="O18" s="4">
        <f>(84+73+82+81)/4</f>
        <v>80</v>
      </c>
      <c r="P18" s="4">
        <f>(81+70+79+78)/4</f>
        <v>77</v>
      </c>
      <c r="Q18" s="3">
        <f>1+1+1</f>
        <v>3</v>
      </c>
      <c r="R18" s="3">
        <f>1</f>
        <v>1</v>
      </c>
      <c r="S18" s="3">
        <f>3+1</f>
        <v>4</v>
      </c>
      <c r="T18" s="3"/>
      <c r="U18" s="3">
        <f>5.75-0.75+0.25+0.75</f>
        <v>6</v>
      </c>
      <c r="V18" s="3">
        <f>5+1+4+2</f>
        <v>12</v>
      </c>
    </row>
    <row r="19" spans="1:22" x14ac:dyDescent="0.25">
      <c r="A19" s="11" t="s">
        <v>108</v>
      </c>
      <c r="B19" s="12" t="s">
        <v>37</v>
      </c>
      <c r="C19" s="12">
        <v>5</v>
      </c>
      <c r="D19" s="12">
        <v>7</v>
      </c>
      <c r="E19" s="12"/>
      <c r="F19" s="12">
        <f t="shared" si="4"/>
        <v>-2</v>
      </c>
      <c r="G19" s="12"/>
      <c r="H19" s="14" t="s">
        <v>30</v>
      </c>
      <c r="I19" s="12">
        <v>1</v>
      </c>
      <c r="J19" s="12">
        <v>1</v>
      </c>
      <c r="K19" s="12"/>
      <c r="L19" s="12">
        <f>1-2</f>
        <v>-1</v>
      </c>
      <c r="M19" s="12">
        <f>0+1-1+2+1-0-0+0+1-1+1-2</f>
        <v>2</v>
      </c>
      <c r="O19" s="4">
        <f>(81+85)/2</f>
        <v>83</v>
      </c>
      <c r="P19" s="4">
        <f>(76+80)/2</f>
        <v>78</v>
      </c>
      <c r="Q19" s="3">
        <f>1+1</f>
        <v>2</v>
      </c>
      <c r="R19" s="3"/>
      <c r="S19" s="3">
        <f>1</f>
        <v>1</v>
      </c>
      <c r="T19" s="3"/>
      <c r="U19" s="3">
        <f>0+2.75</f>
        <v>2.75</v>
      </c>
      <c r="V19" s="3">
        <f>3+5</f>
        <v>8</v>
      </c>
    </row>
    <row r="20" spans="1:22" x14ac:dyDescent="0.25">
      <c r="A20" s="11" t="s">
        <v>108</v>
      </c>
      <c r="B20" s="12" t="s">
        <v>35</v>
      </c>
      <c r="C20" s="12">
        <v>4</v>
      </c>
      <c r="D20" s="12">
        <v>6</v>
      </c>
      <c r="E20" s="12"/>
      <c r="F20" s="12">
        <f t="shared" si="4"/>
        <v>-2</v>
      </c>
      <c r="G20" s="12"/>
      <c r="H20" s="14" t="s">
        <v>90</v>
      </c>
      <c r="I20" s="12">
        <v>0</v>
      </c>
      <c r="J20" s="12">
        <v>2</v>
      </c>
      <c r="K20" s="12"/>
      <c r="L20" s="14">
        <f>-1-2-0</f>
        <v>-3</v>
      </c>
      <c r="M20" s="12">
        <f>-2+1-2-1+0+2-1-1-1-2-0</f>
        <v>-7</v>
      </c>
      <c r="O20" s="4">
        <f>(73+79)/2</f>
        <v>76</v>
      </c>
      <c r="P20" s="4">
        <f>(68+74)/2</f>
        <v>71</v>
      </c>
      <c r="Q20" s="3">
        <f>2+1</f>
        <v>3</v>
      </c>
      <c r="R20" s="3"/>
      <c r="S20" s="3"/>
      <c r="T20" s="3"/>
      <c r="U20" s="3">
        <f>-2.25+1.75</f>
        <v>-0.5</v>
      </c>
      <c r="V20" s="3">
        <f>1+1</f>
        <v>2</v>
      </c>
    </row>
    <row r="21" spans="1:22" x14ac:dyDescent="0.25">
      <c r="A21" s="11" t="s">
        <v>102</v>
      </c>
      <c r="B21" s="12" t="s">
        <v>40</v>
      </c>
      <c r="C21" s="12">
        <v>8</v>
      </c>
      <c r="D21" s="12">
        <v>12</v>
      </c>
      <c r="E21" s="12">
        <v>1</v>
      </c>
      <c r="F21" s="12">
        <f t="shared" si="4"/>
        <v>-4</v>
      </c>
      <c r="G21" s="12"/>
      <c r="H21" s="14" t="s">
        <v>20</v>
      </c>
      <c r="I21" s="12">
        <v>1</v>
      </c>
      <c r="J21" s="12">
        <v>2</v>
      </c>
      <c r="K21" s="12"/>
      <c r="L21" s="14">
        <f>-1-1+0</f>
        <v>-2</v>
      </c>
      <c r="M21" s="14">
        <f>1+1-1-2+1-0-1-0-1+1-1+1-2-1+1-0+0-1-1+0</f>
        <v>-5</v>
      </c>
      <c r="O21" s="4">
        <f>(81+85+79)/3</f>
        <v>81.666666666666671</v>
      </c>
      <c r="P21" s="4">
        <f>(74+78+72)/3</f>
        <v>74.666666666666671</v>
      </c>
      <c r="Q21" s="3">
        <f>1+1+2</f>
        <v>4</v>
      </c>
      <c r="R21" s="3"/>
      <c r="S21" s="3">
        <f>1+1</f>
        <v>2</v>
      </c>
      <c r="T21" s="3"/>
      <c r="U21" s="3">
        <f>2.75+6-2.75</f>
        <v>6</v>
      </c>
      <c r="V21" s="3">
        <f>3+3+3</f>
        <v>9</v>
      </c>
    </row>
    <row r="22" spans="1:22" x14ac:dyDescent="0.25">
      <c r="A22" s="11" t="s">
        <v>102</v>
      </c>
      <c r="B22" s="12" t="s">
        <v>41</v>
      </c>
      <c r="C22" s="12">
        <v>10</v>
      </c>
      <c r="D22" s="12">
        <v>14</v>
      </c>
      <c r="E22" s="12"/>
      <c r="F22" s="12">
        <f t="shared" si="4"/>
        <v>-4</v>
      </c>
      <c r="G22" s="12"/>
      <c r="H22" s="14" t="s">
        <v>30</v>
      </c>
      <c r="I22" s="12">
        <v>1</v>
      </c>
      <c r="J22" s="12">
        <v>1</v>
      </c>
      <c r="K22" s="12"/>
      <c r="L22" s="14">
        <f>1</f>
        <v>1</v>
      </c>
      <c r="M22" s="14">
        <f>0-1-1-2-1+0+2-0-2-2-1+0-2+0+0-1-0-2+1+2+0-1+1</f>
        <v>-10</v>
      </c>
      <c r="O22" s="4">
        <f>(82+78)/2</f>
        <v>80</v>
      </c>
      <c r="P22" s="4">
        <f>(77+73)/2</f>
        <v>75</v>
      </c>
      <c r="Q22" s="3">
        <f>1+2</f>
        <v>3</v>
      </c>
      <c r="R22" s="3"/>
      <c r="S22" s="3"/>
      <c r="T22" s="3"/>
      <c r="U22" s="3">
        <f>0.25+2.25</f>
        <v>2.5</v>
      </c>
      <c r="V22" s="3">
        <f>1+2</f>
        <v>3</v>
      </c>
    </row>
    <row r="23" spans="1:22" x14ac:dyDescent="0.25">
      <c r="A23" s="11">
        <v>19</v>
      </c>
      <c r="B23" s="12" t="s">
        <v>42</v>
      </c>
      <c r="C23" s="12">
        <v>2</v>
      </c>
      <c r="D23" s="12">
        <v>9</v>
      </c>
      <c r="E23" s="12"/>
      <c r="F23" s="12">
        <f t="shared" si="4"/>
        <v>-7</v>
      </c>
      <c r="G23" s="12"/>
      <c r="H23" s="14" t="s">
        <v>90</v>
      </c>
      <c r="I23" s="12">
        <v>0</v>
      </c>
      <c r="J23" s="12">
        <v>2</v>
      </c>
      <c r="K23" s="12"/>
      <c r="L23" s="14">
        <f>-1-0</f>
        <v>-1</v>
      </c>
      <c r="M23" s="14">
        <f>0-1-1-2-0+0+1-2-1-1-0</f>
        <v>-7</v>
      </c>
      <c r="O23" s="4">
        <f>(80+83)/2</f>
        <v>81.5</v>
      </c>
      <c r="P23" s="4">
        <f>(72+76)/2</f>
        <v>74</v>
      </c>
      <c r="Q23" s="3">
        <f>2+1</f>
        <v>3</v>
      </c>
      <c r="R23" s="3"/>
      <c r="S23" s="3">
        <f>1</f>
        <v>1</v>
      </c>
      <c r="T23" s="3"/>
      <c r="U23" s="3">
        <f>0.75+0.75</f>
        <v>1.5</v>
      </c>
      <c r="V23" s="3">
        <f>3+5</f>
        <v>8</v>
      </c>
    </row>
    <row r="24" spans="1:22" x14ac:dyDescent="0.25">
      <c r="A24" s="11">
        <v>20</v>
      </c>
      <c r="B24" s="12" t="s">
        <v>43</v>
      </c>
      <c r="C24" s="12">
        <v>16</v>
      </c>
      <c r="D24" s="12">
        <v>26</v>
      </c>
      <c r="E24" s="12">
        <v>1</v>
      </c>
      <c r="F24" s="12">
        <f t="shared" ref="F24" si="5">C24-D24</f>
        <v>-10</v>
      </c>
      <c r="G24" s="12"/>
      <c r="H24" s="14" t="s">
        <v>20</v>
      </c>
      <c r="I24" s="12">
        <v>5</v>
      </c>
      <c r="J24" s="12">
        <v>5</v>
      </c>
      <c r="K24" s="12"/>
      <c r="L24" s="14">
        <f>1-2-1-1+1-1+0+1-1+1</f>
        <v>-2</v>
      </c>
      <c r="M24" s="14">
        <f>1-1+1-1-2-3-1+1-1-0-0+1-1+2-2-1-1+1-2-1+2-1+2+2-0+1+1+1-0+1-1-1+1-2-1-1+1-1+0+1-1+1</f>
        <v>-5</v>
      </c>
      <c r="O24" s="4">
        <f>(76+90+80+82+78+77+76+78+89+79)/10</f>
        <v>80.5</v>
      </c>
      <c r="P24" s="4">
        <f>(69+83+73+75+71+70+69+72+83+73)/10</f>
        <v>73.8</v>
      </c>
      <c r="Q24" s="3">
        <f>1+1+1+1+2+2</f>
        <v>8</v>
      </c>
      <c r="R24" s="3">
        <f>1</f>
        <v>1</v>
      </c>
      <c r="S24" s="3">
        <f>2+1+1+1+1+1</f>
        <v>7</v>
      </c>
      <c r="T24" s="3"/>
      <c r="U24" s="3">
        <f>-1.5+6.5+1.25-1.75-0.25-2-1.75-1.75+6.25-1</f>
        <v>4</v>
      </c>
      <c r="V24" s="3">
        <f>7+2+2+2+3+2+6+2</f>
        <v>26</v>
      </c>
    </row>
    <row r="25" spans="1:22" x14ac:dyDescent="0.25">
      <c r="O25" s="4"/>
      <c r="P25" s="4"/>
      <c r="Q25" s="3"/>
      <c r="R25" s="3"/>
      <c r="S25" s="3"/>
      <c r="T25" s="3"/>
      <c r="U25" s="3"/>
      <c r="V25" s="3"/>
    </row>
    <row r="26" spans="1:22" x14ac:dyDescent="0.25">
      <c r="O26" s="4"/>
      <c r="P26" s="4"/>
      <c r="Q26" s="3"/>
      <c r="R26" s="3"/>
      <c r="S26" s="3"/>
      <c r="T26" s="3"/>
      <c r="U26" s="3"/>
      <c r="V26" s="3"/>
    </row>
    <row r="27" spans="1:22" x14ac:dyDescent="0.25">
      <c r="A27" s="1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O27" s="4"/>
      <c r="P27" s="4"/>
      <c r="Q27" s="3"/>
      <c r="R27" s="3"/>
      <c r="S27" s="3"/>
      <c r="T27" s="3"/>
      <c r="U27" s="3"/>
      <c r="V27" s="3"/>
    </row>
    <row r="28" spans="1:22" x14ac:dyDescent="0.25">
      <c r="O28" s="4"/>
      <c r="P28" s="4"/>
      <c r="Q28" s="3"/>
      <c r="R28" s="3"/>
      <c r="S28" s="3"/>
      <c r="T28" s="3"/>
      <c r="U28" s="3"/>
      <c r="V28" s="3"/>
    </row>
    <row r="29" spans="1:22" x14ac:dyDescent="0.25">
      <c r="O29" s="4"/>
      <c r="P29" s="4"/>
      <c r="Q29" s="3"/>
      <c r="R29" s="3"/>
      <c r="S29" s="3"/>
      <c r="T29" s="3"/>
      <c r="U29" s="3"/>
      <c r="V29" s="3"/>
    </row>
    <row r="30" spans="1:22" x14ac:dyDescent="0.25">
      <c r="O30" s="4"/>
      <c r="P30" s="4"/>
      <c r="Q30" s="3"/>
      <c r="R30" s="3"/>
      <c r="S30" s="3"/>
      <c r="T30" s="3"/>
      <c r="U30" s="3"/>
      <c r="V30" s="3"/>
    </row>
    <row r="31" spans="1:22" x14ac:dyDescent="0.25">
      <c r="O31" s="4"/>
      <c r="P31" s="4"/>
      <c r="Q31" s="3"/>
      <c r="R31" s="3"/>
      <c r="S31" s="3"/>
      <c r="T31" s="3"/>
      <c r="U31" s="3"/>
      <c r="V31" s="3"/>
    </row>
    <row r="32" spans="1:22" x14ac:dyDescent="0.25">
      <c r="A32" s="11"/>
      <c r="L32" s="12"/>
      <c r="M32" s="12"/>
      <c r="O32" s="4"/>
      <c r="P32" s="4"/>
      <c r="Q32" s="3"/>
      <c r="R32" s="3"/>
      <c r="S32" s="3"/>
      <c r="T32" s="3"/>
      <c r="U32" s="3"/>
      <c r="V32" s="3"/>
    </row>
    <row r="33" spans="1:22" x14ac:dyDescent="0.25">
      <c r="A33" s="11"/>
      <c r="L33" s="14"/>
      <c r="M33" s="14"/>
      <c r="O33" s="4"/>
      <c r="P33" s="4"/>
      <c r="Q33" s="3"/>
      <c r="R33" s="3"/>
      <c r="S33" s="3"/>
      <c r="T33" s="3"/>
      <c r="U33" s="3"/>
      <c r="V33" s="3"/>
    </row>
    <row r="34" spans="1:22" x14ac:dyDescent="0.25">
      <c r="O34" s="4"/>
      <c r="P34" s="4"/>
      <c r="Q34" s="3"/>
      <c r="R34" s="3"/>
      <c r="S34" s="3"/>
      <c r="T34" s="3"/>
      <c r="U34" s="3"/>
      <c r="V34" s="3"/>
    </row>
    <row r="35" spans="1:22" x14ac:dyDescent="0.25">
      <c r="O35" s="4"/>
      <c r="P35" s="4"/>
      <c r="Q35" s="3"/>
      <c r="R35" s="3"/>
      <c r="S35" s="3"/>
      <c r="T35" s="3"/>
      <c r="U35" s="3"/>
      <c r="V35" s="3"/>
    </row>
    <row r="36" spans="1:22" x14ac:dyDescent="0.25">
      <c r="O36" s="4"/>
      <c r="P36" s="4"/>
      <c r="Q36" s="3"/>
      <c r="R36" s="3"/>
      <c r="S36" s="3"/>
      <c r="T36" s="3"/>
      <c r="U36" s="3"/>
      <c r="V36" s="3"/>
    </row>
    <row r="37" spans="1:22" x14ac:dyDescent="0.25">
      <c r="O37" s="4"/>
      <c r="P37" s="4"/>
      <c r="Q37" s="3"/>
      <c r="R37" s="3"/>
      <c r="S37" s="3"/>
      <c r="T37" s="3"/>
      <c r="U37" s="3"/>
      <c r="V37" s="3"/>
    </row>
    <row r="38" spans="1:22" x14ac:dyDescent="0.25">
      <c r="A38" s="15" t="s">
        <v>44</v>
      </c>
      <c r="B38" s="16"/>
      <c r="C38" s="16"/>
      <c r="D38" s="16"/>
      <c r="E38" s="16"/>
      <c r="F38" s="16"/>
      <c r="G38" s="16"/>
      <c r="H38" s="17"/>
      <c r="I38" s="16"/>
      <c r="J38" s="16"/>
      <c r="K38" s="16"/>
      <c r="L38" s="17"/>
      <c r="M38" s="17"/>
      <c r="O38" s="4"/>
      <c r="P38" s="4"/>
      <c r="Q38" s="3"/>
      <c r="R38" s="3"/>
      <c r="S38" s="3"/>
      <c r="T38" s="3"/>
      <c r="U38" s="3"/>
      <c r="V38" s="3"/>
    </row>
    <row r="39" spans="1:22" x14ac:dyDescent="0.25">
      <c r="A39" s="15">
        <f>C39+D39</f>
        <v>7</v>
      </c>
      <c r="B39" s="18" t="s">
        <v>47</v>
      </c>
      <c r="C39" s="18">
        <v>3</v>
      </c>
      <c r="D39" s="18">
        <v>4</v>
      </c>
      <c r="E39" s="18"/>
      <c r="F39" s="18">
        <f>C39-D39</f>
        <v>-1</v>
      </c>
      <c r="G39" s="18"/>
      <c r="H39" s="19" t="s">
        <v>20</v>
      </c>
      <c r="I39" s="18">
        <v>1</v>
      </c>
      <c r="J39" s="18">
        <v>0</v>
      </c>
      <c r="K39" s="18"/>
      <c r="L39" s="18">
        <f>0</f>
        <v>0</v>
      </c>
      <c r="M39" s="18">
        <f>0+1+2-2-1-1+0</f>
        <v>-1</v>
      </c>
      <c r="O39" s="4">
        <f>88</f>
        <v>88</v>
      </c>
      <c r="P39" s="4">
        <f>75</f>
        <v>75</v>
      </c>
      <c r="Q39" s="3"/>
      <c r="R39" s="3"/>
      <c r="S39" s="3">
        <f>2</f>
        <v>2</v>
      </c>
      <c r="T39" s="3"/>
      <c r="U39" s="3">
        <f>-2.25</f>
        <v>-2.25</v>
      </c>
      <c r="V39" s="3">
        <f>5</f>
        <v>5</v>
      </c>
    </row>
    <row r="40" spans="1:22" x14ac:dyDescent="0.25">
      <c r="A40" s="15">
        <f>C40+D40</f>
        <v>7</v>
      </c>
      <c r="B40" s="18" t="s">
        <v>46</v>
      </c>
      <c r="C40" s="18">
        <v>3</v>
      </c>
      <c r="D40" s="18">
        <v>4</v>
      </c>
      <c r="E40" s="18"/>
      <c r="F40" s="18">
        <f>C40-D40</f>
        <v>-1</v>
      </c>
      <c r="G40" s="18"/>
      <c r="H40" s="19" t="s">
        <v>24</v>
      </c>
      <c r="I40" s="18">
        <v>0</v>
      </c>
      <c r="J40" s="18">
        <v>1</v>
      </c>
      <c r="K40" s="18"/>
      <c r="L40" s="19">
        <f>-1</f>
        <v>-1</v>
      </c>
      <c r="M40" s="19">
        <f>0+0-0+1-2-2-1</f>
        <v>-4</v>
      </c>
      <c r="O40" s="4">
        <f>91</f>
        <v>91</v>
      </c>
      <c r="P40" s="4">
        <f>78</f>
        <v>78</v>
      </c>
      <c r="Q40" s="3"/>
      <c r="R40" s="3"/>
      <c r="S40" s="3">
        <f>1</f>
        <v>1</v>
      </c>
      <c r="T40" s="3"/>
      <c r="U40" s="3">
        <f>3.25</f>
        <v>3.25</v>
      </c>
      <c r="V40" s="3">
        <f>7</f>
        <v>7</v>
      </c>
    </row>
    <row r="41" spans="1:22" x14ac:dyDescent="0.25">
      <c r="A41" s="15">
        <f t="shared" ref="A41:A48" si="6">C41+D41</f>
        <v>6</v>
      </c>
      <c r="B41" s="18" t="s">
        <v>45</v>
      </c>
      <c r="C41" s="18">
        <v>4</v>
      </c>
      <c r="D41" s="18">
        <v>2</v>
      </c>
      <c r="E41" s="18"/>
      <c r="F41" s="18">
        <f>C41-D41</f>
        <v>2</v>
      </c>
      <c r="G41" s="18"/>
      <c r="H41" s="19" t="s">
        <v>34</v>
      </c>
      <c r="I41" s="18"/>
      <c r="J41" s="18"/>
      <c r="K41" s="18"/>
      <c r="L41" s="19"/>
      <c r="M41" s="19">
        <f>2-1-1+0+0+1</f>
        <v>1</v>
      </c>
      <c r="O41" s="4"/>
      <c r="P41" s="4"/>
      <c r="Q41" s="3"/>
      <c r="R41" s="3"/>
      <c r="S41" s="3"/>
      <c r="T41" s="3"/>
      <c r="U41" s="3"/>
      <c r="V41" s="3"/>
    </row>
    <row r="42" spans="1:22" x14ac:dyDescent="0.25">
      <c r="A42" s="15">
        <f>C42+D42</f>
        <v>5</v>
      </c>
      <c r="B42" s="18" t="s">
        <v>48</v>
      </c>
      <c r="C42" s="18">
        <v>1</v>
      </c>
      <c r="D42" s="18">
        <v>4</v>
      </c>
      <c r="E42" s="18"/>
      <c r="F42" s="18">
        <f>C42-D42</f>
        <v>-3</v>
      </c>
      <c r="G42" s="18"/>
      <c r="H42" s="19" t="s">
        <v>26</v>
      </c>
      <c r="I42" s="18">
        <v>0</v>
      </c>
      <c r="J42" s="18">
        <v>2</v>
      </c>
      <c r="K42" s="18"/>
      <c r="L42" s="18">
        <f>-1-0</f>
        <v>-1</v>
      </c>
      <c r="M42" s="18">
        <f>-2+0-1-1-0</f>
        <v>-4</v>
      </c>
      <c r="O42" s="4">
        <f>(80+85)/2</f>
        <v>82.5</v>
      </c>
      <c r="P42" s="4">
        <f>(75+80)/2</f>
        <v>77.5</v>
      </c>
      <c r="Q42" s="3">
        <f>2</f>
        <v>2</v>
      </c>
      <c r="R42" s="3"/>
      <c r="S42" s="3"/>
      <c r="T42" s="3"/>
      <c r="U42" s="3">
        <f>4.75+4.75</f>
        <v>9.5</v>
      </c>
      <c r="V42" s="3">
        <f>4+1</f>
        <v>5</v>
      </c>
    </row>
    <row r="43" spans="1:22" x14ac:dyDescent="0.25">
      <c r="A43" s="15">
        <f>C43+D43</f>
        <v>5</v>
      </c>
      <c r="B43" s="18" t="s">
        <v>52</v>
      </c>
      <c r="C43" s="18">
        <v>0</v>
      </c>
      <c r="D43" s="18">
        <v>5</v>
      </c>
      <c r="E43" s="18"/>
      <c r="F43" s="18">
        <f>C43-D43</f>
        <v>-5</v>
      </c>
      <c r="G43" s="18"/>
      <c r="H43" s="19" t="s">
        <v>104</v>
      </c>
      <c r="I43" s="18">
        <v>0</v>
      </c>
      <c r="J43" s="18">
        <v>3</v>
      </c>
      <c r="K43" s="18"/>
      <c r="L43" s="18">
        <f>-1-0-1</f>
        <v>-2</v>
      </c>
      <c r="M43" s="18">
        <f>-1-0-1-0-1</f>
        <v>-3</v>
      </c>
      <c r="O43" s="4">
        <f>(88+80+86)/3</f>
        <v>84.666666666666671</v>
      </c>
      <c r="P43" s="4">
        <f>(80+72+78)/3</f>
        <v>76.666666666666671</v>
      </c>
      <c r="Q43" s="3">
        <f>2</f>
        <v>2</v>
      </c>
      <c r="R43" s="3"/>
      <c r="S43" s="3">
        <f>1+2</f>
        <v>3</v>
      </c>
      <c r="T43" s="3"/>
      <c r="U43" s="3">
        <f>4-2.75+3.25</f>
        <v>4.5</v>
      </c>
      <c r="V43" s="3">
        <f>5+3+7</f>
        <v>15</v>
      </c>
    </row>
    <row r="44" spans="1:22" x14ac:dyDescent="0.25">
      <c r="A44" s="15">
        <f t="shared" si="6"/>
        <v>3</v>
      </c>
      <c r="B44" s="18" t="s">
        <v>50</v>
      </c>
      <c r="C44" s="18">
        <v>1</v>
      </c>
      <c r="D44" s="18">
        <v>2</v>
      </c>
      <c r="E44" s="18"/>
      <c r="F44" s="18">
        <f t="shared" ref="F44:F45" si="7">C44-D44</f>
        <v>-1</v>
      </c>
      <c r="G44" s="18"/>
      <c r="H44" s="18" t="s">
        <v>30</v>
      </c>
      <c r="I44" s="18">
        <v>0</v>
      </c>
      <c r="J44" s="18">
        <v>1</v>
      </c>
      <c r="K44" s="18"/>
      <c r="L44" s="19">
        <f>-1</f>
        <v>-1</v>
      </c>
      <c r="M44" s="19">
        <f>0+0-1</f>
        <v>-1</v>
      </c>
      <c r="O44" s="4">
        <f>79</f>
        <v>79</v>
      </c>
      <c r="P44" s="4">
        <f>73</f>
        <v>73</v>
      </c>
      <c r="Q44" s="3">
        <f>1</f>
        <v>1</v>
      </c>
      <c r="R44" s="3"/>
      <c r="S44" s="3"/>
      <c r="T44" s="3"/>
      <c r="U44" s="3">
        <f>-2</f>
        <v>-2</v>
      </c>
      <c r="V44" s="3">
        <f>1</f>
        <v>1</v>
      </c>
    </row>
    <row r="45" spans="1:22" x14ac:dyDescent="0.25">
      <c r="A45" s="15">
        <f t="shared" si="6"/>
        <v>3</v>
      </c>
      <c r="B45" s="18" t="s">
        <v>51</v>
      </c>
      <c r="C45" s="18">
        <v>1</v>
      </c>
      <c r="D45" s="18">
        <v>2</v>
      </c>
      <c r="E45" s="16"/>
      <c r="F45" s="18">
        <f t="shared" si="7"/>
        <v>-1</v>
      </c>
      <c r="G45" s="16"/>
      <c r="H45" s="19" t="s">
        <v>26</v>
      </c>
      <c r="I45" s="18">
        <v>0</v>
      </c>
      <c r="J45" s="18">
        <v>1</v>
      </c>
      <c r="K45" s="18"/>
      <c r="L45" s="18">
        <f>-1</f>
        <v>-1</v>
      </c>
      <c r="M45" s="18">
        <f>0-1-1</f>
        <v>-2</v>
      </c>
      <c r="O45" s="4">
        <f>80</f>
        <v>80</v>
      </c>
      <c r="P45" s="4">
        <f>71</f>
        <v>71</v>
      </c>
      <c r="Q45" s="3"/>
      <c r="R45" s="3">
        <f>1</f>
        <v>1</v>
      </c>
      <c r="S45" s="3">
        <f>3</f>
        <v>3</v>
      </c>
      <c r="T45" s="3"/>
      <c r="U45" s="3">
        <f>-2.75</f>
        <v>-2.75</v>
      </c>
      <c r="V45" s="3"/>
    </row>
    <row r="46" spans="1:22" x14ac:dyDescent="0.25">
      <c r="A46" s="15">
        <f t="shared" si="6"/>
        <v>3</v>
      </c>
      <c r="B46" s="18" t="s">
        <v>55</v>
      </c>
      <c r="C46" s="18">
        <v>1</v>
      </c>
      <c r="D46" s="18">
        <v>2</v>
      </c>
      <c r="E46" s="16"/>
      <c r="F46" s="18">
        <f>C46-D46</f>
        <v>-1</v>
      </c>
      <c r="G46" s="16"/>
      <c r="H46" s="19" t="s">
        <v>26</v>
      </c>
      <c r="I46" s="18">
        <v>0</v>
      </c>
      <c r="J46" s="18">
        <v>2</v>
      </c>
      <c r="K46" s="18"/>
      <c r="L46" s="18">
        <f>0-1-2</f>
        <v>-3</v>
      </c>
      <c r="M46" s="18">
        <f>0-1-2</f>
        <v>-3</v>
      </c>
      <c r="O46" s="4">
        <f>(92+91)/2</f>
        <v>91.5</v>
      </c>
      <c r="P46" s="4">
        <f>(83+82)/2</f>
        <v>82.5</v>
      </c>
      <c r="Q46" s="3">
        <f>1</f>
        <v>1</v>
      </c>
      <c r="R46" s="3"/>
      <c r="S46" s="3">
        <f>1</f>
        <v>1</v>
      </c>
      <c r="T46" s="3"/>
      <c r="U46" s="3">
        <f>6.25+3.25</f>
        <v>9.5</v>
      </c>
      <c r="V46" s="3">
        <f>8+7</f>
        <v>15</v>
      </c>
    </row>
    <row r="47" spans="1:22" x14ac:dyDescent="0.25">
      <c r="A47" s="15">
        <f t="shared" si="6"/>
        <v>2</v>
      </c>
      <c r="B47" s="18" t="s">
        <v>49</v>
      </c>
      <c r="C47" s="18">
        <v>1</v>
      </c>
      <c r="D47" s="18">
        <v>1</v>
      </c>
      <c r="E47" s="18"/>
      <c r="F47" s="18">
        <f>C47-D47</f>
        <v>0</v>
      </c>
      <c r="G47" s="18"/>
      <c r="H47" s="19" t="s">
        <v>20</v>
      </c>
      <c r="I47" s="18"/>
      <c r="J47" s="18"/>
      <c r="K47" s="18"/>
      <c r="L47" s="18"/>
      <c r="M47" s="18">
        <f>-2+0</f>
        <v>-2</v>
      </c>
      <c r="O47" s="4"/>
      <c r="P47" s="4"/>
      <c r="Q47" s="3"/>
      <c r="R47" s="3"/>
      <c r="S47" s="3"/>
      <c r="T47" s="3"/>
      <c r="U47" s="3"/>
      <c r="V47" s="3"/>
    </row>
    <row r="48" spans="1:22" x14ac:dyDescent="0.25">
      <c r="A48" s="15">
        <f t="shared" si="6"/>
        <v>2</v>
      </c>
      <c r="B48" s="18" t="s">
        <v>93</v>
      </c>
      <c r="C48" s="18">
        <v>0</v>
      </c>
      <c r="D48" s="18">
        <v>2</v>
      </c>
      <c r="E48" s="18"/>
      <c r="F48" s="18">
        <f>C48-D48</f>
        <v>-2</v>
      </c>
      <c r="G48" s="18"/>
      <c r="H48" s="19" t="s">
        <v>24</v>
      </c>
      <c r="I48" s="18">
        <v>0</v>
      </c>
      <c r="J48" s="18">
        <v>2</v>
      </c>
      <c r="K48" s="18"/>
      <c r="L48" s="18">
        <f>-1-0</f>
        <v>-1</v>
      </c>
      <c r="M48" s="18">
        <f>-1-0</f>
        <v>-1</v>
      </c>
      <c r="O48" s="4">
        <f>(90+86)/2</f>
        <v>88</v>
      </c>
      <c r="P48" s="4">
        <f>(80+76)/2</f>
        <v>78</v>
      </c>
      <c r="Q48" s="3"/>
      <c r="R48" s="3"/>
      <c r="S48" s="3">
        <f>2</f>
        <v>2</v>
      </c>
      <c r="T48" s="3"/>
      <c r="U48" s="3">
        <f>6.25+1.25</f>
        <v>7.5</v>
      </c>
      <c r="V48" s="3">
        <f>6+4</f>
        <v>10</v>
      </c>
    </row>
    <row r="49" spans="1:23" x14ac:dyDescent="0.25">
      <c r="A49" s="15">
        <f>C49+D49</f>
        <v>2</v>
      </c>
      <c r="B49" s="18" t="s">
        <v>58</v>
      </c>
      <c r="C49" s="18">
        <v>0</v>
      </c>
      <c r="D49" s="18">
        <v>2</v>
      </c>
      <c r="E49" s="18"/>
      <c r="F49" s="18">
        <f>C49-D49</f>
        <v>-2</v>
      </c>
      <c r="G49" s="18"/>
      <c r="H49" s="18" t="s">
        <v>26</v>
      </c>
      <c r="I49" s="18">
        <v>0</v>
      </c>
      <c r="J49" s="18">
        <v>1</v>
      </c>
      <c r="K49" s="18"/>
      <c r="L49" s="18">
        <f>-1</f>
        <v>-1</v>
      </c>
      <c r="M49" s="18">
        <f>-1-1</f>
        <v>-2</v>
      </c>
      <c r="O49" s="4">
        <f>75</f>
        <v>75</v>
      </c>
      <c r="P49" s="4">
        <f>76</f>
        <v>76</v>
      </c>
      <c r="Q49" s="3">
        <f>1</f>
        <v>1</v>
      </c>
      <c r="R49" s="3"/>
      <c r="S49" s="3"/>
      <c r="T49" s="3"/>
      <c r="U49" s="3">
        <f>2</f>
        <v>2</v>
      </c>
      <c r="V49" s="3"/>
    </row>
    <row r="50" spans="1:23" x14ac:dyDescent="0.25">
      <c r="A50" s="15">
        <f t="shared" ref="A50:A54" si="8">C50+D50</f>
        <v>1</v>
      </c>
      <c r="B50" s="18" t="s">
        <v>95</v>
      </c>
      <c r="C50" s="18">
        <v>1</v>
      </c>
      <c r="D50" s="18">
        <v>0</v>
      </c>
      <c r="E50" s="18"/>
      <c r="F50" s="18">
        <f t="shared" ref="F50:F54" si="9">C50-D50</f>
        <v>1</v>
      </c>
      <c r="G50" s="18"/>
      <c r="H50" s="19" t="s">
        <v>20</v>
      </c>
      <c r="I50" s="18">
        <v>1</v>
      </c>
      <c r="J50" s="18">
        <v>0</v>
      </c>
      <c r="K50" s="18"/>
      <c r="L50" s="18">
        <f>2</f>
        <v>2</v>
      </c>
      <c r="M50" s="18">
        <f>2</f>
        <v>2</v>
      </c>
      <c r="O50" s="4">
        <f>74</f>
        <v>74</v>
      </c>
      <c r="P50" s="4">
        <f>74</f>
        <v>74</v>
      </c>
      <c r="Q50" s="3">
        <f>3</f>
        <v>3</v>
      </c>
      <c r="R50" s="3"/>
      <c r="S50" s="3"/>
      <c r="T50" s="3"/>
      <c r="U50" s="3">
        <f>-2.75</f>
        <v>-2.75</v>
      </c>
      <c r="V50" s="3">
        <f>1</f>
        <v>1</v>
      </c>
    </row>
    <row r="51" spans="1:23" x14ac:dyDescent="0.25">
      <c r="A51" s="15">
        <f>C51+D51</f>
        <v>1</v>
      </c>
      <c r="B51" s="18" t="s">
        <v>92</v>
      </c>
      <c r="C51" s="18">
        <v>1</v>
      </c>
      <c r="D51" s="18">
        <v>0</v>
      </c>
      <c r="E51" s="16"/>
      <c r="F51" s="18">
        <f>C51-D51</f>
        <v>1</v>
      </c>
      <c r="G51" s="16"/>
      <c r="H51" s="19" t="s">
        <v>20</v>
      </c>
      <c r="I51" s="18">
        <v>1</v>
      </c>
      <c r="J51" s="18">
        <v>0</v>
      </c>
      <c r="K51" s="18"/>
      <c r="L51" s="18">
        <f>1</f>
        <v>1</v>
      </c>
      <c r="M51" s="18">
        <f>1</f>
        <v>1</v>
      </c>
      <c r="O51" s="4">
        <f>85</f>
        <v>85</v>
      </c>
      <c r="P51" s="4">
        <f>75</f>
        <v>75</v>
      </c>
      <c r="Q51" s="3">
        <f>1</f>
        <v>1</v>
      </c>
      <c r="R51" s="3"/>
      <c r="S51" s="3">
        <f>1</f>
        <v>1</v>
      </c>
      <c r="T51" s="3"/>
      <c r="U51" s="3">
        <f>0</f>
        <v>0</v>
      </c>
      <c r="V51" s="3">
        <f>3</f>
        <v>3</v>
      </c>
    </row>
    <row r="52" spans="1:23" x14ac:dyDescent="0.25">
      <c r="A52" s="15">
        <f>C52+D52</f>
        <v>1</v>
      </c>
      <c r="B52" s="18" t="s">
        <v>74</v>
      </c>
      <c r="C52" s="18">
        <v>1</v>
      </c>
      <c r="D52" s="18">
        <v>0</v>
      </c>
      <c r="E52" s="18"/>
      <c r="F52" s="18">
        <f>C52-D52</f>
        <v>1</v>
      </c>
      <c r="G52" s="18"/>
      <c r="H52" s="19" t="s">
        <v>75</v>
      </c>
      <c r="I52" s="18">
        <v>1</v>
      </c>
      <c r="J52" s="18">
        <v>0</v>
      </c>
      <c r="K52" s="18"/>
      <c r="L52" s="18">
        <f>1</f>
        <v>1</v>
      </c>
      <c r="M52" s="18">
        <f>1</f>
        <v>1</v>
      </c>
      <c r="O52" s="4">
        <f>71</f>
        <v>71</v>
      </c>
      <c r="P52" s="4">
        <f>68</f>
        <v>68</v>
      </c>
      <c r="Q52" s="3">
        <f>1</f>
        <v>1</v>
      </c>
      <c r="R52" s="3"/>
      <c r="S52" s="3"/>
      <c r="T52" s="3"/>
      <c r="U52" s="3">
        <f>-3.25</f>
        <v>-3.25</v>
      </c>
      <c r="V52" s="3"/>
    </row>
    <row r="53" spans="1:23" x14ac:dyDescent="0.25">
      <c r="A53" s="15">
        <f>C53+D53</f>
        <v>1</v>
      </c>
      <c r="B53" s="18" t="s">
        <v>53</v>
      </c>
      <c r="C53" s="18">
        <v>1</v>
      </c>
      <c r="D53" s="18">
        <v>0</v>
      </c>
      <c r="E53" s="18"/>
      <c r="F53" s="18">
        <f>C53-D53</f>
        <v>1</v>
      </c>
      <c r="G53" s="18"/>
      <c r="H53" s="19" t="s">
        <v>20</v>
      </c>
      <c r="I53" s="18"/>
      <c r="J53" s="18"/>
      <c r="K53" s="18"/>
      <c r="L53" s="18"/>
      <c r="M53" s="18">
        <f>1</f>
        <v>1</v>
      </c>
      <c r="O53" s="4"/>
      <c r="P53" s="4"/>
      <c r="Q53" s="3"/>
      <c r="R53" s="3"/>
      <c r="S53" s="3"/>
      <c r="T53" s="3"/>
      <c r="U53" s="3"/>
      <c r="V53" s="3"/>
    </row>
    <row r="54" spans="1:23" x14ac:dyDescent="0.25">
      <c r="A54" s="15">
        <f t="shared" si="8"/>
        <v>1</v>
      </c>
      <c r="B54" s="18" t="s">
        <v>54</v>
      </c>
      <c r="C54" s="18">
        <v>1</v>
      </c>
      <c r="D54" s="18">
        <v>0</v>
      </c>
      <c r="E54" s="18"/>
      <c r="F54" s="18">
        <f t="shared" si="9"/>
        <v>1</v>
      </c>
      <c r="G54" s="18"/>
      <c r="H54" s="19" t="s">
        <v>20</v>
      </c>
      <c r="I54" s="18"/>
      <c r="J54" s="18"/>
      <c r="K54" s="18"/>
      <c r="L54" s="19"/>
      <c r="M54" s="18">
        <f>1</f>
        <v>1</v>
      </c>
      <c r="O54" s="4"/>
      <c r="P54" s="4"/>
      <c r="Q54" s="3"/>
      <c r="R54" s="3"/>
      <c r="S54" s="3"/>
      <c r="T54" s="3"/>
      <c r="U54" s="3"/>
      <c r="V54" s="3"/>
    </row>
    <row r="55" spans="1:23" x14ac:dyDescent="0.25">
      <c r="A55" s="21">
        <f>C55+D55</f>
        <v>1</v>
      </c>
      <c r="B55" s="18" t="s">
        <v>112</v>
      </c>
      <c r="C55" s="18">
        <v>1</v>
      </c>
      <c r="D55" s="18">
        <v>0</v>
      </c>
      <c r="E55" s="18"/>
      <c r="F55" s="18">
        <f>C55-D55</f>
        <v>1</v>
      </c>
      <c r="G55" s="18"/>
      <c r="H55" s="18" t="s">
        <v>20</v>
      </c>
      <c r="I55" s="18">
        <v>1</v>
      </c>
      <c r="J55" s="18">
        <v>0</v>
      </c>
      <c r="K55" s="18"/>
      <c r="L55" s="18">
        <f>1</f>
        <v>1</v>
      </c>
      <c r="M55" s="18">
        <f>1</f>
        <v>1</v>
      </c>
      <c r="O55" s="4">
        <f>82</f>
        <v>82</v>
      </c>
      <c r="P55" s="4">
        <f>73</f>
        <v>73</v>
      </c>
      <c r="Q55" s="3">
        <f>1</f>
        <v>1</v>
      </c>
      <c r="R55" s="3"/>
      <c r="S55" s="3">
        <f>1</f>
        <v>1</v>
      </c>
      <c r="T55" s="3"/>
      <c r="U55" s="3">
        <f>-1</f>
        <v>-1</v>
      </c>
      <c r="V55" s="3">
        <f>2</f>
        <v>2</v>
      </c>
    </row>
    <row r="56" spans="1:23" x14ac:dyDescent="0.25">
      <c r="A56" s="15">
        <f>C56+D56</f>
        <v>1</v>
      </c>
      <c r="B56" s="18" t="s">
        <v>56</v>
      </c>
      <c r="C56" s="18">
        <v>0</v>
      </c>
      <c r="D56" s="18">
        <v>1</v>
      </c>
      <c r="E56" s="18"/>
      <c r="F56" s="18">
        <f>C56-D56</f>
        <v>-1</v>
      </c>
      <c r="G56" s="18"/>
      <c r="H56" s="19" t="s">
        <v>26</v>
      </c>
      <c r="I56" s="18"/>
      <c r="J56" s="18"/>
      <c r="K56" s="18"/>
      <c r="L56" s="18"/>
      <c r="M56" s="18">
        <f>0</f>
        <v>0</v>
      </c>
      <c r="O56" s="4"/>
      <c r="P56" s="4"/>
      <c r="Q56" s="3"/>
      <c r="R56" s="3"/>
      <c r="S56" s="3"/>
      <c r="T56" s="3"/>
      <c r="U56" s="3"/>
      <c r="V56" s="3"/>
    </row>
    <row r="57" spans="1:23" ht="15.75" thickBot="1" x14ac:dyDescent="0.3">
      <c r="A57" s="15">
        <f>C57+D57</f>
        <v>1</v>
      </c>
      <c r="B57" s="18" t="s">
        <v>57</v>
      </c>
      <c r="C57" s="18">
        <v>0</v>
      </c>
      <c r="D57" s="18">
        <v>1</v>
      </c>
      <c r="E57" s="18"/>
      <c r="F57" s="18">
        <f>C57-D57</f>
        <v>-1</v>
      </c>
      <c r="G57" s="18"/>
      <c r="H57" s="18" t="s">
        <v>30</v>
      </c>
      <c r="I57" s="18"/>
      <c r="J57" s="18"/>
      <c r="K57" s="18"/>
      <c r="L57" s="18"/>
      <c r="M57" s="18">
        <f>-1</f>
        <v>-1</v>
      </c>
      <c r="O57" s="4"/>
      <c r="P57" s="4"/>
      <c r="Q57" s="3"/>
      <c r="R57" s="3"/>
      <c r="S57" s="3"/>
      <c r="T57" s="3"/>
      <c r="U57" s="3"/>
      <c r="V57" s="3"/>
    </row>
    <row r="58" spans="1:23" x14ac:dyDescent="0.25">
      <c r="A58" s="15">
        <f>C58+D58</f>
        <v>1</v>
      </c>
      <c r="B58" s="18" t="s">
        <v>59</v>
      </c>
      <c r="C58" s="18">
        <v>0</v>
      </c>
      <c r="D58" s="18">
        <v>1</v>
      </c>
      <c r="E58" s="18"/>
      <c r="F58" s="18">
        <f>C58-D58</f>
        <v>-1</v>
      </c>
      <c r="G58" s="18"/>
      <c r="H58" s="19" t="s">
        <v>26</v>
      </c>
      <c r="I58" s="18"/>
      <c r="J58" s="18"/>
      <c r="K58" s="18"/>
      <c r="L58" s="18"/>
      <c r="M58" s="18">
        <f>-3</f>
        <v>-3</v>
      </c>
      <c r="O58" s="4"/>
      <c r="P58" s="4"/>
      <c r="Q58" s="3"/>
      <c r="R58" s="3"/>
      <c r="S58" s="3"/>
      <c r="T58" s="3"/>
      <c r="U58" s="3"/>
      <c r="V58" s="3"/>
      <c r="W58" s="20" t="s">
        <v>60</v>
      </c>
    </row>
    <row r="59" spans="1:23" x14ac:dyDescent="0.25">
      <c r="A59" s="21">
        <f>C59+D59</f>
        <v>1</v>
      </c>
      <c r="B59" s="19" t="s">
        <v>61</v>
      </c>
      <c r="C59" s="19">
        <v>0</v>
      </c>
      <c r="D59" s="19">
        <v>1</v>
      </c>
      <c r="E59" s="19"/>
      <c r="F59" s="19">
        <f>C59-D59</f>
        <v>-1</v>
      </c>
      <c r="G59" s="19"/>
      <c r="H59" s="19" t="s">
        <v>62</v>
      </c>
      <c r="I59" s="19"/>
      <c r="J59" s="19"/>
      <c r="K59" s="19"/>
      <c r="L59" s="19"/>
      <c r="M59" s="19">
        <f>-2</f>
        <v>-2</v>
      </c>
      <c r="O59" s="4"/>
      <c r="P59" s="4"/>
      <c r="Q59" s="3"/>
      <c r="R59" s="3"/>
      <c r="S59" s="3"/>
      <c r="T59" s="3"/>
      <c r="U59" s="3"/>
      <c r="V59" s="3"/>
      <c r="W59" s="22" t="s">
        <v>63</v>
      </c>
    </row>
    <row r="60" spans="1:23" ht="15.75" thickBot="1" x14ac:dyDescent="0.3">
      <c r="W60" s="23" t="s">
        <v>64</v>
      </c>
    </row>
    <row r="61" spans="1:23" x14ac:dyDescent="0.25">
      <c r="W61" s="20" t="s">
        <v>65</v>
      </c>
    </row>
    <row r="62" spans="1:23" x14ac:dyDescent="0.25">
      <c r="W62" s="24" t="s">
        <v>66</v>
      </c>
    </row>
    <row r="63" spans="1:23" ht="15.75" thickBot="1" x14ac:dyDescent="0.3">
      <c r="W63" s="23" t="s">
        <v>67</v>
      </c>
    </row>
    <row r="65" spans="1:22" x14ac:dyDescent="0.25">
      <c r="C65" s="25">
        <f>SUM(C3:C63)</f>
        <v>222</v>
      </c>
      <c r="D65" s="25">
        <f>SUM(D3:D63)</f>
        <v>222</v>
      </c>
      <c r="E65" s="25">
        <f>SUM(E3:E63)</f>
        <v>4</v>
      </c>
      <c r="F65" s="25">
        <f>SUM(F3:F63)</f>
        <v>0</v>
      </c>
      <c r="G65" s="25"/>
      <c r="H65" s="25"/>
      <c r="I65" s="25">
        <f>SUM(I3:I63)</f>
        <v>44</v>
      </c>
      <c r="J65" s="25">
        <f>SUM(J3:J63)</f>
        <v>44</v>
      </c>
      <c r="K65" s="25">
        <f>SUM(K3:K63)</f>
        <v>0</v>
      </c>
      <c r="L65" s="25">
        <f>SUM(L3:L63)</f>
        <v>0</v>
      </c>
      <c r="M65" s="25">
        <f>SUM(M3:M63)</f>
        <v>0</v>
      </c>
      <c r="O65" s="26"/>
      <c r="P65" s="26"/>
      <c r="Q65" s="25">
        <f t="shared" ref="Q65:V65" si="10">SUM(Q3:Q63)</f>
        <v>131</v>
      </c>
      <c r="R65" s="25">
        <f t="shared" si="10"/>
        <v>14</v>
      </c>
      <c r="S65" s="25">
        <f t="shared" si="10"/>
        <v>36</v>
      </c>
      <c r="T65" s="25">
        <f t="shared" si="10"/>
        <v>3</v>
      </c>
      <c r="U65" s="25">
        <f t="shared" si="10"/>
        <v>0</v>
      </c>
      <c r="V65" s="25">
        <f t="shared" si="10"/>
        <v>187</v>
      </c>
    </row>
    <row r="66" spans="1:22" x14ac:dyDescent="0.25">
      <c r="O66" s="26"/>
      <c r="P66" s="26"/>
    </row>
    <row r="67" spans="1:22" x14ac:dyDescent="0.25">
      <c r="B67" s="12"/>
      <c r="O67" s="26"/>
      <c r="P67" s="26"/>
    </row>
    <row r="68" spans="1:22" x14ac:dyDescent="0.25">
      <c r="A68" s="1" t="s">
        <v>76</v>
      </c>
      <c r="B68" s="27" t="s">
        <v>77</v>
      </c>
      <c r="O68" s="26"/>
      <c r="P68" s="26"/>
    </row>
    <row r="69" spans="1:22" x14ac:dyDescent="0.25">
      <c r="A69" s="1" t="s">
        <v>76</v>
      </c>
      <c r="B69" s="27" t="s">
        <v>82</v>
      </c>
      <c r="O69" s="26"/>
      <c r="P69" s="26"/>
    </row>
    <row r="70" spans="1:22" x14ac:dyDescent="0.25">
      <c r="A70" s="1" t="s">
        <v>83</v>
      </c>
      <c r="B70" s="27" t="s">
        <v>84</v>
      </c>
      <c r="O70" s="26"/>
      <c r="P70" s="26"/>
    </row>
    <row r="71" spans="1:22" x14ac:dyDescent="0.25">
      <c r="A71" s="1" t="s">
        <v>88</v>
      </c>
      <c r="B71" s="27" t="s">
        <v>89</v>
      </c>
      <c r="O71" s="26"/>
      <c r="P71" s="26"/>
    </row>
    <row r="72" spans="1:22" x14ac:dyDescent="0.25">
      <c r="A72" s="1" t="s">
        <v>96</v>
      </c>
      <c r="B72" s="27" t="s">
        <v>97</v>
      </c>
      <c r="O72" s="26"/>
      <c r="P72" s="26"/>
    </row>
    <row r="73" spans="1:22" x14ac:dyDescent="0.25">
      <c r="A73" s="1" t="s">
        <v>98</v>
      </c>
      <c r="B73" s="27" t="s">
        <v>99</v>
      </c>
      <c r="O73" s="26"/>
      <c r="P73" s="26"/>
    </row>
    <row r="74" spans="1:22" x14ac:dyDescent="0.25">
      <c r="A74" s="1" t="s">
        <v>6</v>
      </c>
      <c r="B74" s="27" t="s">
        <v>100</v>
      </c>
      <c r="O74" s="26"/>
      <c r="P74" s="26"/>
    </row>
    <row r="75" spans="1:22" x14ac:dyDescent="0.25">
      <c r="A75" s="1" t="s">
        <v>76</v>
      </c>
      <c r="B75" s="27" t="s">
        <v>101</v>
      </c>
      <c r="O75" s="28"/>
      <c r="P75" s="28"/>
    </row>
    <row r="76" spans="1:22" x14ac:dyDescent="0.25">
      <c r="A76" s="1" t="s">
        <v>110</v>
      </c>
      <c r="B76" s="27" t="s">
        <v>111</v>
      </c>
      <c r="O76" s="28"/>
      <c r="P76" s="28"/>
    </row>
    <row r="77" spans="1:22" x14ac:dyDescent="0.25">
      <c r="B77" s="27"/>
      <c r="O77" s="26"/>
      <c r="P77" s="26"/>
    </row>
    <row r="78" spans="1:22" x14ac:dyDescent="0.25">
      <c r="B78" s="27"/>
      <c r="O78" s="26"/>
      <c r="P78" s="26"/>
    </row>
    <row r="79" spans="1:22" x14ac:dyDescent="0.25">
      <c r="B79" s="27"/>
      <c r="O79" s="26"/>
      <c r="P79" s="26"/>
    </row>
    <row r="80" spans="1:22" x14ac:dyDescent="0.25">
      <c r="B80" s="27"/>
      <c r="O80" s="26"/>
      <c r="P80" s="26"/>
    </row>
    <row r="81" spans="2:21" x14ac:dyDescent="0.25">
      <c r="B81" s="27"/>
      <c r="O81" s="26"/>
      <c r="P81" s="26"/>
    </row>
    <row r="82" spans="2:21" x14ac:dyDescent="0.25">
      <c r="B82" s="27"/>
      <c r="O82" s="26"/>
      <c r="P82" s="26"/>
    </row>
    <row r="83" spans="2:21" x14ac:dyDescent="0.25">
      <c r="O83" s="26"/>
      <c r="P83" s="26"/>
    </row>
    <row r="84" spans="2:21" x14ac:dyDescent="0.25">
      <c r="O84" s="28"/>
      <c r="P84" s="29"/>
    </row>
    <row r="85" spans="2:21" x14ac:dyDescent="0.25">
      <c r="O85" s="28"/>
      <c r="P85" s="28"/>
    </row>
    <row r="86" spans="2:21" x14ac:dyDescent="0.25">
      <c r="Q86" s="25"/>
      <c r="R86" s="25"/>
      <c r="S86" s="25"/>
      <c r="T86" s="25"/>
      <c r="U86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johough</dc:creator>
  <cp:lastModifiedBy>johough</cp:lastModifiedBy>
  <dcterms:created xsi:type="dcterms:W3CDTF">2017-06-02T19:11:22Z</dcterms:created>
  <dcterms:modified xsi:type="dcterms:W3CDTF">2017-07-05T14:07:17Z</dcterms:modified>
</cp:coreProperties>
</file>