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u144\JOHOUGH$\Desktop\"/>
    </mc:Choice>
  </mc:AlternateContent>
  <bookViews>
    <workbookView xWindow="0" yWindow="0" windowWidth="18795" windowHeight="10635"/>
  </bookViews>
  <sheets>
    <sheet name="2015 Standings  " sheetId="1" r:id="rId1"/>
  </sheets>
  <calcPr calcId="162913"/>
</workbook>
</file>

<file path=xl/calcChain.xml><?xml version="1.0" encoding="utf-8"?>
<calcChain xmlns="http://schemas.openxmlformats.org/spreadsheetml/2006/main">
  <c r="U10" i="1" l="1"/>
  <c r="U11" i="1"/>
  <c r="U19" i="1"/>
  <c r="U51" i="1"/>
  <c r="V10" i="1"/>
  <c r="Q10" i="1"/>
  <c r="Q11" i="1"/>
  <c r="V19" i="1"/>
  <c r="Q19" i="1"/>
  <c r="Q51" i="1"/>
  <c r="R10" i="1"/>
  <c r="R11" i="1"/>
  <c r="P10" i="1"/>
  <c r="O10" i="1"/>
  <c r="P11" i="1"/>
  <c r="O11" i="1"/>
  <c r="P19" i="1"/>
  <c r="O19" i="1"/>
  <c r="P51" i="1"/>
  <c r="O51" i="1"/>
  <c r="U21" i="1"/>
  <c r="U18" i="1"/>
  <c r="U26" i="1"/>
  <c r="V21" i="1"/>
  <c r="Q21" i="1"/>
  <c r="V26" i="1"/>
  <c r="Q26" i="1"/>
  <c r="Q18" i="1"/>
  <c r="P21" i="1"/>
  <c r="O21" i="1"/>
  <c r="P26" i="1"/>
  <c r="O26" i="1"/>
  <c r="P18" i="1"/>
  <c r="O18" i="1"/>
  <c r="U7" i="1"/>
  <c r="U17" i="1"/>
  <c r="U16" i="1"/>
  <c r="U15" i="1"/>
  <c r="V17" i="1"/>
  <c r="Q17" i="1"/>
  <c r="Q16" i="1"/>
  <c r="Q7" i="1"/>
  <c r="Q15" i="1"/>
  <c r="P17" i="1"/>
  <c r="O17" i="1"/>
  <c r="P16" i="1"/>
  <c r="O16" i="1"/>
  <c r="P7" i="1"/>
  <c r="O7" i="1"/>
  <c r="P15" i="1"/>
  <c r="O15" i="1"/>
  <c r="M51" i="1"/>
  <c r="L51" i="1"/>
  <c r="M26" i="1"/>
  <c r="L26" i="1"/>
  <c r="M18" i="1"/>
  <c r="L18" i="1"/>
  <c r="M19" i="1"/>
  <c r="L19" i="1"/>
  <c r="M21" i="1"/>
  <c r="L21" i="1"/>
  <c r="M17" i="1"/>
  <c r="L17" i="1"/>
  <c r="M15" i="1"/>
  <c r="L15" i="1"/>
  <c r="M16" i="1"/>
  <c r="L16" i="1"/>
  <c r="M11" i="1"/>
  <c r="L11" i="1"/>
  <c r="M10" i="1"/>
  <c r="L10" i="1"/>
  <c r="M7" i="1"/>
  <c r="L7" i="1"/>
  <c r="U12" i="1" l="1"/>
  <c r="U5" i="1"/>
  <c r="V11" i="1"/>
  <c r="V51" i="1"/>
  <c r="Q5" i="1"/>
  <c r="P12" i="1"/>
  <c r="O12" i="1"/>
  <c r="P5" i="1"/>
  <c r="O5" i="1"/>
  <c r="U76" i="1"/>
  <c r="U67" i="1"/>
  <c r="U24" i="1"/>
  <c r="U27" i="1"/>
  <c r="V76" i="1"/>
  <c r="Q76" i="1"/>
  <c r="V67" i="1"/>
  <c r="Q67" i="1"/>
  <c r="V24" i="1"/>
  <c r="Q24" i="1"/>
  <c r="Q27" i="1"/>
  <c r="S67" i="1"/>
  <c r="S76" i="1"/>
  <c r="P76" i="1"/>
  <c r="O76" i="1"/>
  <c r="P67" i="1"/>
  <c r="O67" i="1"/>
  <c r="P24" i="1"/>
  <c r="O24" i="1"/>
  <c r="P27" i="1"/>
  <c r="O27" i="1"/>
  <c r="V7" i="1"/>
  <c r="V16" i="1"/>
  <c r="R17" i="1"/>
  <c r="R7" i="1"/>
  <c r="S19" i="1"/>
  <c r="S16" i="1"/>
  <c r="U14" i="1"/>
  <c r="U25" i="1"/>
  <c r="V14" i="1"/>
  <c r="Q14" i="1"/>
  <c r="V25" i="1"/>
  <c r="Q25" i="1"/>
  <c r="P14" i="1"/>
  <c r="O14" i="1"/>
  <c r="P25" i="1"/>
  <c r="O25" i="1"/>
  <c r="M12" i="1"/>
  <c r="L12" i="1"/>
  <c r="M5" i="1"/>
  <c r="L5" i="1"/>
  <c r="M76" i="1"/>
  <c r="L76" i="1"/>
  <c r="A76" i="1"/>
  <c r="F76" i="1"/>
  <c r="M67" i="1"/>
  <c r="L67" i="1"/>
  <c r="M24" i="1"/>
  <c r="L24" i="1"/>
  <c r="M27" i="1"/>
  <c r="L27" i="1"/>
  <c r="M25" i="1"/>
  <c r="L25" i="1"/>
  <c r="M14" i="1"/>
  <c r="L14" i="1"/>
  <c r="U22" i="1" l="1"/>
  <c r="U28" i="1"/>
  <c r="V22" i="1"/>
  <c r="V28" i="1"/>
  <c r="Q28" i="1"/>
  <c r="S51" i="1"/>
  <c r="S28" i="1"/>
  <c r="P22" i="1"/>
  <c r="O22" i="1"/>
  <c r="P28" i="1"/>
  <c r="O28" i="1"/>
  <c r="U8" i="1"/>
  <c r="V8" i="1"/>
  <c r="Q8" i="1"/>
  <c r="P8" i="1"/>
  <c r="O8" i="1"/>
  <c r="R8" i="1"/>
  <c r="V5" i="1"/>
  <c r="T5" i="1"/>
  <c r="T8" i="1"/>
  <c r="S7" i="1"/>
  <c r="R5" i="1"/>
  <c r="M8" i="1"/>
  <c r="M28" i="1" l="1"/>
  <c r="L28" i="1"/>
  <c r="M22" i="1"/>
  <c r="L22" i="1"/>
  <c r="L8" i="1"/>
  <c r="M63" i="1" l="1"/>
  <c r="M57" i="1"/>
  <c r="M72" i="1"/>
  <c r="S8" i="1" l="1"/>
  <c r="S21" i="1"/>
  <c r="V27" i="1"/>
  <c r="S24" i="1"/>
  <c r="R24" i="1"/>
  <c r="R21" i="1"/>
  <c r="S27" i="1"/>
  <c r="S26" i="1"/>
  <c r="S14" i="1"/>
  <c r="T86" i="1"/>
  <c r="K86" i="1"/>
  <c r="J86" i="1"/>
  <c r="I86" i="1"/>
  <c r="E86" i="1"/>
  <c r="D86" i="1"/>
  <c r="C86" i="1"/>
  <c r="M79" i="1"/>
  <c r="F79" i="1"/>
  <c r="A79" i="1"/>
  <c r="M78" i="1"/>
  <c r="F78" i="1"/>
  <c r="A78" i="1"/>
  <c r="M77" i="1"/>
  <c r="F77" i="1"/>
  <c r="A77" i="1"/>
  <c r="F72" i="1"/>
  <c r="A72" i="1"/>
  <c r="F67" i="1"/>
  <c r="A67" i="1"/>
  <c r="M75" i="1"/>
  <c r="F75" i="1"/>
  <c r="A75" i="1"/>
  <c r="M74" i="1"/>
  <c r="F74" i="1"/>
  <c r="A74" i="1"/>
  <c r="M73" i="1"/>
  <c r="F73" i="1"/>
  <c r="A73" i="1"/>
  <c r="M71" i="1"/>
  <c r="F71" i="1"/>
  <c r="A71" i="1"/>
  <c r="M70" i="1"/>
  <c r="F70" i="1"/>
  <c r="A70" i="1"/>
  <c r="M69" i="1"/>
  <c r="F69" i="1"/>
  <c r="A69" i="1"/>
  <c r="M68" i="1"/>
  <c r="F68" i="1"/>
  <c r="A68" i="1"/>
  <c r="M66" i="1"/>
  <c r="F66" i="1"/>
  <c r="A66" i="1"/>
  <c r="M65" i="1"/>
  <c r="F65" i="1"/>
  <c r="A65" i="1"/>
  <c r="M64" i="1"/>
  <c r="F64" i="1"/>
  <c r="A64" i="1"/>
  <c r="F63" i="1"/>
  <c r="A63" i="1"/>
  <c r="M62" i="1"/>
  <c r="F62" i="1"/>
  <c r="A62" i="1"/>
  <c r="M61" i="1"/>
  <c r="F61" i="1"/>
  <c r="A61" i="1"/>
  <c r="M60" i="1"/>
  <c r="F60" i="1"/>
  <c r="A60" i="1"/>
  <c r="M59" i="1"/>
  <c r="F59" i="1"/>
  <c r="A59" i="1"/>
  <c r="M58" i="1"/>
  <c r="F58" i="1"/>
  <c r="A58" i="1"/>
  <c r="F57" i="1"/>
  <c r="A57" i="1"/>
  <c r="M56" i="1"/>
  <c r="F56" i="1"/>
  <c r="A56" i="1"/>
  <c r="M55" i="1"/>
  <c r="F55" i="1"/>
  <c r="A55" i="1"/>
  <c r="M54" i="1"/>
  <c r="F54" i="1"/>
  <c r="A54" i="1"/>
  <c r="F51" i="1"/>
  <c r="A51" i="1"/>
  <c r="M53" i="1"/>
  <c r="F53" i="1"/>
  <c r="A53" i="1"/>
  <c r="M52" i="1"/>
  <c r="F52" i="1"/>
  <c r="A52" i="1"/>
  <c r="F28" i="1"/>
  <c r="F24" i="1"/>
  <c r="F27" i="1"/>
  <c r="F26" i="1"/>
  <c r="F25" i="1"/>
  <c r="M23" i="1"/>
  <c r="F23" i="1"/>
  <c r="F18" i="1"/>
  <c r="F21" i="1"/>
  <c r="F22" i="1"/>
  <c r="M20" i="1"/>
  <c r="F20" i="1"/>
  <c r="F19" i="1"/>
  <c r="F15" i="1"/>
  <c r="F17" i="1"/>
  <c r="F8" i="1"/>
  <c r="F12" i="1"/>
  <c r="F16" i="1"/>
  <c r="M13" i="1"/>
  <c r="F13" i="1"/>
  <c r="F14" i="1"/>
  <c r="F10" i="1"/>
  <c r="M9" i="1"/>
  <c r="F9" i="1"/>
  <c r="F11" i="1"/>
  <c r="F7" i="1"/>
  <c r="F5" i="1"/>
  <c r="M6" i="1"/>
  <c r="F6" i="1"/>
  <c r="R86" i="1" l="1"/>
  <c r="V86" i="1"/>
  <c r="U86" i="1"/>
  <c r="Q86" i="1"/>
  <c r="S86" i="1"/>
  <c r="L86" i="1"/>
  <c r="F86" i="1"/>
  <c r="M86" i="1"/>
</calcChain>
</file>

<file path=xl/sharedStrings.xml><?xml version="1.0" encoding="utf-8"?>
<sst xmlns="http://schemas.openxmlformats.org/spreadsheetml/2006/main" count="188" uniqueCount="131">
  <si>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</si>
  <si>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</si>
  <si>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</si>
  <si>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</si>
  <si>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</si>
  <si>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</si>
  <si>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</si>
  <si>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</si>
  <si>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</si>
  <si>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</si>
  <si>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</si>
  <si>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</si>
  <si>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</si>
  <si>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</si>
  <si>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</si>
  <si>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</si>
  <si>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</si>
  <si>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</si>
  <si>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</si>
  <si>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Bobcat</t>
  </si>
  <si>
    <t>2W</t>
  </si>
  <si>
    <t>Mole</t>
  </si>
  <si>
    <t>Hound</t>
  </si>
  <si>
    <t>1W</t>
  </si>
  <si>
    <t>Fawn</t>
  </si>
  <si>
    <t>4W</t>
  </si>
  <si>
    <t>Yorkie</t>
  </si>
  <si>
    <t>1L</t>
  </si>
  <si>
    <t>Panda</t>
  </si>
  <si>
    <t xml:space="preserve">Yahk </t>
  </si>
  <si>
    <t>Kodiak</t>
  </si>
  <si>
    <t>5L</t>
  </si>
  <si>
    <t>Ram</t>
  </si>
  <si>
    <t>3W</t>
  </si>
  <si>
    <t>Hamster</t>
  </si>
  <si>
    <t>Eel</t>
  </si>
  <si>
    <t>3L</t>
  </si>
  <si>
    <t>Wolf</t>
  </si>
  <si>
    <t>Eagle</t>
  </si>
  <si>
    <t>Woodpecker</t>
  </si>
  <si>
    <t>Hawk</t>
  </si>
  <si>
    <t>2L</t>
  </si>
  <si>
    <t>Tortoise</t>
  </si>
  <si>
    <t>Owl</t>
  </si>
  <si>
    <t>Harrier</t>
  </si>
  <si>
    <t>Herron</t>
  </si>
  <si>
    <t>Moose</t>
  </si>
  <si>
    <t>Pup</t>
  </si>
  <si>
    <t>Silver</t>
  </si>
  <si>
    <t>Wildebeest</t>
  </si>
  <si>
    <t>Javelina</t>
  </si>
  <si>
    <t>GP</t>
  </si>
  <si>
    <t>Buffalo</t>
  </si>
  <si>
    <t>Possum</t>
  </si>
  <si>
    <t>HammerHead</t>
  </si>
  <si>
    <t>Slug</t>
  </si>
  <si>
    <t>Snail</t>
  </si>
  <si>
    <t>Anaconda</t>
  </si>
  <si>
    <t>Crow</t>
  </si>
  <si>
    <t>Shrew</t>
  </si>
  <si>
    <t>Lion</t>
  </si>
  <si>
    <t>Newt</t>
  </si>
  <si>
    <t>Hedgehog</t>
  </si>
  <si>
    <t>Fly</t>
  </si>
  <si>
    <t>Marmot</t>
  </si>
  <si>
    <t>Grizz</t>
  </si>
  <si>
    <t>Wallaby</t>
  </si>
  <si>
    <t>Giraffe</t>
  </si>
  <si>
    <t>Sea Lion</t>
  </si>
  <si>
    <t>Crane</t>
  </si>
  <si>
    <t>Culpeo</t>
  </si>
  <si>
    <t>Whale</t>
  </si>
  <si>
    <t>Mockingbird</t>
  </si>
  <si>
    <t>Airedale</t>
  </si>
  <si>
    <t>Raccon</t>
  </si>
  <si>
    <t>Gecko</t>
  </si>
  <si>
    <t>Ant</t>
  </si>
  <si>
    <t>Turtle</t>
  </si>
  <si>
    <t>Polar</t>
  </si>
  <si>
    <t>Mule</t>
  </si>
  <si>
    <t>7L</t>
  </si>
  <si>
    <t>Record Streaks</t>
  </si>
  <si>
    <t>Eel - 16 Ws</t>
  </si>
  <si>
    <t>Eel - 13 Ls</t>
  </si>
  <si>
    <t>plus/minus over 500</t>
  </si>
  <si>
    <t>Eag +20</t>
  </si>
  <si>
    <t>Wolf -26</t>
  </si>
  <si>
    <t>10S</t>
  </si>
  <si>
    <t>Eel over Mole (In a Dub)</t>
  </si>
  <si>
    <t>Mole - 82</t>
  </si>
  <si>
    <t>Beest - 68</t>
  </si>
  <si>
    <t xml:space="preserve">SOM </t>
  </si>
  <si>
    <t>5W</t>
  </si>
  <si>
    <t>Eel - 67</t>
  </si>
  <si>
    <t>Eel - 69</t>
  </si>
  <si>
    <t>Mole - 69</t>
  </si>
  <si>
    <t>GREAT</t>
  </si>
  <si>
    <t>Eel/Mole on 1</t>
  </si>
  <si>
    <t>NR</t>
  </si>
  <si>
    <t>3 Flapps by a team (eel 1, mole 1,17)</t>
  </si>
  <si>
    <t>Mole Flap bunker shot on 1 to set up GREAT</t>
  </si>
  <si>
    <t>Jav - 87</t>
  </si>
  <si>
    <t>PL</t>
  </si>
  <si>
    <t>Eel/Pand over hammer/Jav after 14. Win D + no</t>
  </si>
  <si>
    <t>Tort - 87</t>
  </si>
  <si>
    <t>Harry - 69</t>
  </si>
  <si>
    <t>Bengal</t>
  </si>
  <si>
    <t>T4</t>
  </si>
  <si>
    <t>T19</t>
  </si>
  <si>
    <t>T8</t>
  </si>
  <si>
    <t>Beest - 62</t>
  </si>
  <si>
    <t>Moose - 69</t>
  </si>
  <si>
    <t>Hound - 68</t>
  </si>
  <si>
    <t>Peck - 69</t>
  </si>
  <si>
    <t xml:space="preserve">10S </t>
  </si>
  <si>
    <t>Beest over Owl (In a Dub)</t>
  </si>
  <si>
    <t>Beest - 69</t>
  </si>
  <si>
    <t>Mole - 67</t>
  </si>
  <si>
    <t>Hamster - 69</t>
  </si>
  <si>
    <t>T11</t>
  </si>
  <si>
    <t>T14</t>
  </si>
  <si>
    <t>T21</t>
  </si>
  <si>
    <t>Ram - 69</t>
  </si>
  <si>
    <t>Eag - 69</t>
  </si>
  <si>
    <t>Harry -69</t>
  </si>
  <si>
    <t>Eagle - 69</t>
  </si>
  <si>
    <t>Wolf - 68</t>
  </si>
  <si>
    <t>4 NUPS in same group - Ram/Eag/Hound/Wolf</t>
  </si>
  <si>
    <t>Pup - 69</t>
  </si>
  <si>
    <t>Harry - 67</t>
  </si>
  <si>
    <t>Fawn - 66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</si>
</sst>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6" borderId="0" xfId="0" applyFont="1" applyFill="1" applyAlignment="1">
      <alignment horizontal="right"/>
    </xf>
    <xf numFmtId="0" fontId="1" fillId="6" borderId="0" xfId="0" applyFont="1" applyFill="1"/>
    <xf numFmtId="0" fontId="2" fillId="6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1" fillId="7" borderId="0" xfId="0" applyFont="1" applyFill="1" applyAlignment="1">
      <alignment horizontal="right"/>
    </xf>
    <xf numFmtId="0" fontId="0" fillId="7" borderId="0" xfId="0" applyFill="1"/>
    <xf numFmtId="0" fontId="3" fillId="7" borderId="0" xfId="0" applyFont="1" applyFill="1"/>
    <xf numFmtId="0" fontId="1" fillId="7" borderId="0" xfId="0" applyFont="1" applyFill="1"/>
    <xf numFmtId="0" fontId="2" fillId="7" borderId="0" xfId="0" applyFont="1" applyFill="1"/>
    <xf numFmtId="0" fontId="2" fillId="7" borderId="0" xfId="0" applyFont="1" applyFill="1" applyAlignment="1">
      <alignment horizontal="right"/>
    </xf>
    <xf numFmtId="0" fontId="1" fillId="7" borderId="1" xfId="0" applyFont="1" applyFill="1" applyBorder="1"/>
    <xf numFmtId="0" fontId="2" fillId="7" borderId="2" xfId="0" applyFont="1" applyFill="1" applyBorder="1"/>
    <xf numFmtId="1" fontId="1" fillId="7" borderId="3" xfId="0" applyNumberFormat="1" applyFont="1" applyFill="1" applyBorder="1"/>
    <xf numFmtId="0" fontId="1" fillId="7" borderId="2" xfId="0" applyFont="1" applyFill="1" applyBorder="1"/>
    <xf numFmtId="1" fontId="0" fillId="0" borderId="0" xfId="0" applyNumberFormat="1"/>
    <xf numFmtId="4" fontId="0" fillId="0" borderId="0" xfId="0" applyNumberFormat="1"/>
    <xf numFmtId="0" fontId="1" fillId="0" borderId="0" xfId="0" applyFont="1"/>
    <xf numFmtId="2" fontId="0" fillId="0" borderId="0" xfId="0" applyNumberFormat="1"/>
    <xf numFmtId="2" fontId="0" fillId="0" borderId="0" xfId="0" applyNumberFormat="1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1"/>
  <sheetViews>
    <sheetView tabSelected="1" zoomScale="90" zoomScaleNormal="90" workbookViewId="0">
      <selection activeCell="H36" sqref="H36"/>
    </sheetView>
  </sheetViews>
  <sheetFormatPr defaultRowHeight="15" x14ac:dyDescent="0.25"/>
  <cols>
    <col min="1" max="1" width="11.5703125" style="1" bestFit="1" customWidth="1"/>
    <col min="2" max="2" width="16.5703125" bestFit="1" customWidth="1"/>
    <col min="3" max="4" width="5" bestFit="1" customWidth="1"/>
    <col min="5" max="5" width="8.42578125" customWidth="1"/>
    <col min="6" max="7" width="8.7109375" customWidth="1"/>
    <col min="8" max="8" width="8.7109375" bestFit="1" customWidth="1"/>
    <col min="9" max="9" width="6.140625" customWidth="1"/>
    <col min="10" max="10" width="4" bestFit="1" customWidth="1"/>
    <col min="11" max="11" width="2.7109375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8.85546875" bestFit="1" customWidth="1"/>
    <col min="24" max="24" width="28.5703125" bestFit="1" customWidth="1"/>
    <col min="25" max="25" width="2.7109375" customWidth="1"/>
    <col min="26" max="26" width="27.28515625" bestFit="1" customWidth="1"/>
    <col min="27" max="27" width="16" bestFit="1" customWidth="1"/>
  </cols>
  <sheetData>
    <row r="1" spans="1:27" x14ac:dyDescent="0.25">
      <c r="O1" s="2"/>
      <c r="P1" s="2"/>
      <c r="Q1" s="3"/>
      <c r="R1" s="3"/>
      <c r="S1" s="3"/>
      <c r="T1" s="3"/>
      <c r="U1" s="3"/>
      <c r="V1" s="3"/>
    </row>
    <row r="2" spans="1:27" x14ac:dyDescent="0.25">
      <c r="B2" t="s">
        <v>0</v>
      </c>
      <c r="E2" t="s">
        <v>1</v>
      </c>
      <c r="I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 x14ac:dyDescent="0.25">
      <c r="H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 x14ac:dyDescent="0.25">
      <c r="O4" s="4"/>
      <c r="P4" s="4"/>
      <c r="Q4" s="3"/>
      <c r="R4" s="3"/>
      <c r="S4" s="3"/>
      <c r="T4" s="3"/>
      <c r="U4" s="3"/>
      <c r="V4" s="3"/>
      <c r="W4" t="s">
        <v>122</v>
      </c>
      <c r="X4" t="s">
        <v>110</v>
      </c>
      <c r="Z4" t="s">
        <v>101</v>
      </c>
      <c r="AA4" t="s">
        <v>89</v>
      </c>
    </row>
    <row r="5" spans="1:27" x14ac:dyDescent="0.25">
      <c r="A5" s="5">
        <v>1</v>
      </c>
      <c r="B5" s="6" t="s">
        <v>21</v>
      </c>
      <c r="C5" s="6">
        <v>32</v>
      </c>
      <c r="D5" s="6">
        <v>16</v>
      </c>
      <c r="E5" s="6"/>
      <c r="F5" s="6">
        <f t="shared" ref="F5:F6" si="0">C5-D5</f>
        <v>16</v>
      </c>
      <c r="G5" s="6"/>
      <c r="H5" s="7" t="s">
        <v>33</v>
      </c>
      <c r="I5" s="6">
        <v>3</v>
      </c>
      <c r="J5" s="6">
        <v>0</v>
      </c>
      <c r="K5" s="6"/>
      <c r="L5" s="7">
        <f>0+1+1</f>
        <v>2</v>
      </c>
      <c r="M5" s="7">
        <f>1+2+0+0+2+3+0-2-1+0+2+0+0+2-1+1+1-1-1+1-2+1+1+0+1+1+1-1+1+2+1+2+0+2-1+2-1-2+1-1+1-1-1+1-0+0+1+1</f>
        <v>19</v>
      </c>
      <c r="O5" s="4">
        <f>(85+72+70)/3</f>
        <v>75.666666666666671</v>
      </c>
      <c r="P5" s="4">
        <f>(82+69+67)/3</f>
        <v>72.666666666666671</v>
      </c>
      <c r="Q5" s="3">
        <f>2+3</f>
        <v>5</v>
      </c>
      <c r="R5" s="3">
        <f>3</f>
        <v>3</v>
      </c>
      <c r="S5" s="3"/>
      <c r="T5" s="3">
        <f>2</f>
        <v>2</v>
      </c>
      <c r="U5" s="3">
        <f>4.25-2.75-3</f>
        <v>-1.5</v>
      </c>
      <c r="V5" s="3">
        <f>4+1</f>
        <v>5</v>
      </c>
      <c r="W5" t="s">
        <v>123</v>
      </c>
      <c r="X5" t="s">
        <v>130</v>
      </c>
      <c r="Z5" t="s">
        <v>104</v>
      </c>
    </row>
    <row r="6" spans="1:27" x14ac:dyDescent="0.25">
      <c r="A6" s="5">
        <v>2</v>
      </c>
      <c r="B6" s="6" t="s">
        <v>19</v>
      </c>
      <c r="C6" s="6">
        <v>21</v>
      </c>
      <c r="D6" s="6">
        <v>7</v>
      </c>
      <c r="E6" s="6"/>
      <c r="F6" s="6">
        <f t="shared" si="0"/>
        <v>14</v>
      </c>
      <c r="G6" s="6"/>
      <c r="H6" s="7" t="s">
        <v>20</v>
      </c>
      <c r="I6" s="6"/>
      <c r="J6" s="6"/>
      <c r="K6" s="6"/>
      <c r="L6" s="6"/>
      <c r="M6" s="6">
        <f>0-0+1+1-2+3+1+1+1+1+1+0+0+2+1+0+1+0+2+0-1+1+1+1+0-1+1+0</f>
        <v>16</v>
      </c>
      <c r="O6" s="4"/>
      <c r="P6" s="4"/>
      <c r="Q6" s="3"/>
      <c r="R6" s="3"/>
      <c r="S6" s="3"/>
      <c r="T6" s="3"/>
      <c r="U6" s="3"/>
      <c r="V6" s="3"/>
      <c r="W6" t="s">
        <v>124</v>
      </c>
      <c r="X6" t="s">
        <v>117</v>
      </c>
    </row>
    <row r="7" spans="1:27" x14ac:dyDescent="0.25">
      <c r="A7" s="8">
        <v>3</v>
      </c>
      <c r="B7" s="9" t="s">
        <v>22</v>
      </c>
      <c r="C7" s="9">
        <v>32</v>
      </c>
      <c r="D7" s="9">
        <v>24</v>
      </c>
      <c r="E7" s="9"/>
      <c r="F7" s="9">
        <f t="shared" ref="F7:F8" si="1">C7-D7</f>
        <v>8</v>
      </c>
      <c r="G7" s="9"/>
      <c r="H7" s="10" t="s">
        <v>20</v>
      </c>
      <c r="I7" s="9">
        <v>3</v>
      </c>
      <c r="J7" s="9">
        <v>2</v>
      </c>
      <c r="K7" s="9"/>
      <c r="L7" s="10">
        <f>1-1-1+2+2</f>
        <v>3</v>
      </c>
      <c r="M7" s="10">
        <f>1-1+1+2-1+0-1-0+1+1+2+2-0+2+1-0+2+0-1+1-0-0-0-1-1+0+2-3-0-1-2+1-1+1+0-2+1+1+2+0+1-1+1+0-1+2+0+1-1+1-2+2+1-1-1+2+2</f>
        <v>15</v>
      </c>
      <c r="O7" s="4">
        <f>(80+79+81+73+72)/5</f>
        <v>77</v>
      </c>
      <c r="P7" s="4">
        <f>(80+74+76+68+68)/5</f>
        <v>73.2</v>
      </c>
      <c r="Q7" s="3">
        <f>1+2+1+1+2</f>
        <v>7</v>
      </c>
      <c r="R7" s="3">
        <f>1+1</f>
        <v>2</v>
      </c>
      <c r="S7" s="3">
        <f>1+1</f>
        <v>2</v>
      </c>
      <c r="T7" s="3"/>
      <c r="U7" s="3">
        <f>2.25-1.5+4.25-2-0.5</f>
        <v>2.5</v>
      </c>
      <c r="V7" s="3">
        <f>5+2+4+1</f>
        <v>12</v>
      </c>
      <c r="X7" t="s">
        <v>93</v>
      </c>
    </row>
    <row r="8" spans="1:27" x14ac:dyDescent="0.25">
      <c r="A8" s="8" t="s">
        <v>107</v>
      </c>
      <c r="B8" s="9" t="s">
        <v>35</v>
      </c>
      <c r="C8" s="9">
        <v>28</v>
      </c>
      <c r="D8" s="9">
        <v>22</v>
      </c>
      <c r="E8" s="9"/>
      <c r="F8" s="9">
        <f t="shared" si="1"/>
        <v>6</v>
      </c>
      <c r="G8" s="9"/>
      <c r="H8" s="10" t="s">
        <v>92</v>
      </c>
      <c r="I8" s="9">
        <v>5</v>
      </c>
      <c r="J8" s="9">
        <v>1</v>
      </c>
      <c r="K8" s="9"/>
      <c r="L8" s="10">
        <f>-1+2+1+1+2+0</f>
        <v>5</v>
      </c>
      <c r="M8" s="10">
        <f>-2+0-0-1+2+0+1+0+0-2+1+1-1-1-0+2+2-2-0+1-0-1+1-1-2-2-2-1+0+0-2-0+1+1-1+1+1+2+0-2+1-1+1-2-1+2+1+1+2+0</f>
        <v>-2</v>
      </c>
      <c r="O8" s="4">
        <f>(74+81+70+71+74+75)/6</f>
        <v>74.166666666666671</v>
      </c>
      <c r="P8" s="4">
        <f>(71+77+67+69+72+73)/6</f>
        <v>71.5</v>
      </c>
      <c r="Q8" s="3">
        <f>2+1+2+1+1+1</f>
        <v>8</v>
      </c>
      <c r="R8" s="3">
        <f>3+1</f>
        <v>4</v>
      </c>
      <c r="S8" s="3">
        <f>1</f>
        <v>1</v>
      </c>
      <c r="T8" s="3">
        <f>1</f>
        <v>1</v>
      </c>
      <c r="U8" s="3">
        <f>-6.75+1.5-5.5-2.75-4.5-0.5</f>
        <v>-18.5</v>
      </c>
      <c r="V8" s="3">
        <f>2+3+1</f>
        <v>6</v>
      </c>
      <c r="X8" t="s">
        <v>129</v>
      </c>
    </row>
    <row r="9" spans="1:27" x14ac:dyDescent="0.25">
      <c r="A9" s="8" t="s">
        <v>107</v>
      </c>
      <c r="B9" s="9" t="s">
        <v>26</v>
      </c>
      <c r="C9" s="9">
        <v>12</v>
      </c>
      <c r="D9" s="9">
        <v>6</v>
      </c>
      <c r="E9" s="9"/>
      <c r="F9" s="9">
        <f>C9-D9</f>
        <v>6</v>
      </c>
      <c r="G9" s="9"/>
      <c r="H9" s="10" t="s">
        <v>27</v>
      </c>
      <c r="I9" s="9"/>
      <c r="J9" s="9"/>
      <c r="K9" s="9"/>
      <c r="L9" s="10"/>
      <c r="M9" s="10">
        <f>1+1+1-1+2-1-1+0-1+0+2+1+1+0+0-2+1-0</f>
        <v>4</v>
      </c>
      <c r="O9" s="4"/>
      <c r="P9" s="4"/>
      <c r="Q9" s="3"/>
      <c r="R9" s="3"/>
      <c r="S9" s="3"/>
      <c r="T9" s="3"/>
      <c r="U9" s="3"/>
      <c r="V9" s="3"/>
      <c r="X9" t="s">
        <v>90</v>
      </c>
    </row>
    <row r="10" spans="1:27" x14ac:dyDescent="0.25">
      <c r="A10" s="8">
        <v>6</v>
      </c>
      <c r="B10" s="9" t="s">
        <v>28</v>
      </c>
      <c r="C10" s="9">
        <v>25</v>
      </c>
      <c r="D10" s="9">
        <v>20</v>
      </c>
      <c r="E10" s="9"/>
      <c r="F10" s="9">
        <f>C10-D10</f>
        <v>5</v>
      </c>
      <c r="G10" s="9"/>
      <c r="H10" s="10" t="s">
        <v>27</v>
      </c>
      <c r="I10" s="9">
        <v>1</v>
      </c>
      <c r="J10" s="9">
        <v>1</v>
      </c>
      <c r="K10" s="9"/>
      <c r="L10" s="10">
        <f>2-1</f>
        <v>1</v>
      </c>
      <c r="M10" s="10">
        <f>-1+1+1-1-0-0+2+0-1-2-2-1-1+1+1+1+1+2+1+0+2+3+1-2+1+1+1+1-1-1-1-2-0+1+1-2-0-2+3+1+2-0+0+2-1</f>
        <v>10</v>
      </c>
      <c r="O10" s="4">
        <f>(79+78)/2</f>
        <v>78.5</v>
      </c>
      <c r="P10" s="4">
        <f>(76+74)/2</f>
        <v>75</v>
      </c>
      <c r="Q10" s="3">
        <f>1+2</f>
        <v>3</v>
      </c>
      <c r="R10" s="3">
        <f>1</f>
        <v>1</v>
      </c>
      <c r="S10" s="3"/>
      <c r="T10" s="3"/>
      <c r="U10" s="3">
        <f>-0.5+4.25</f>
        <v>3.75</v>
      </c>
      <c r="V10" s="3">
        <f>1+2</f>
        <v>3</v>
      </c>
      <c r="X10" t="s">
        <v>112</v>
      </c>
    </row>
    <row r="11" spans="1:27" x14ac:dyDescent="0.25">
      <c r="A11" s="11">
        <v>7</v>
      </c>
      <c r="B11" s="12" t="s">
        <v>24</v>
      </c>
      <c r="C11" s="12">
        <v>18</v>
      </c>
      <c r="D11" s="12">
        <v>14</v>
      </c>
      <c r="E11" s="33"/>
      <c r="F11" s="12">
        <f>C11-D11</f>
        <v>4</v>
      </c>
      <c r="G11" s="12"/>
      <c r="H11" s="13" t="s">
        <v>41</v>
      </c>
      <c r="I11" s="12">
        <v>0</v>
      </c>
      <c r="J11" s="12">
        <v>2</v>
      </c>
      <c r="K11" s="33"/>
      <c r="L11" s="13">
        <f>-1-1</f>
        <v>-2</v>
      </c>
      <c r="M11" s="13">
        <f>2-0-3-1+2+1+1+2+1+1-0-2+2+1-1-1+2+1-1-0+1+2+1-2-2+0+2+2+2-1-1</f>
        <v>11</v>
      </c>
      <c r="O11" s="4">
        <f>(81+73)/2</f>
        <v>77</v>
      </c>
      <c r="P11" s="4">
        <f>(74+66)/2</f>
        <v>70</v>
      </c>
      <c r="Q11" s="3">
        <f>1+1</f>
        <v>2</v>
      </c>
      <c r="R11" s="3">
        <f>1</f>
        <v>1</v>
      </c>
      <c r="S11" s="3"/>
      <c r="T11" s="3"/>
      <c r="U11" s="3">
        <f>4-3.75</f>
        <v>0.25</v>
      </c>
      <c r="V11" s="3">
        <f>3</f>
        <v>3</v>
      </c>
      <c r="X11" t="s">
        <v>112</v>
      </c>
    </row>
    <row r="12" spans="1:27" x14ac:dyDescent="0.25">
      <c r="A12" s="11" t="s">
        <v>109</v>
      </c>
      <c r="B12" s="12" t="s">
        <v>34</v>
      </c>
      <c r="C12" s="12">
        <v>20</v>
      </c>
      <c r="D12" s="12">
        <v>17</v>
      </c>
      <c r="E12" s="12"/>
      <c r="F12" s="12">
        <f>C12-D12</f>
        <v>3</v>
      </c>
      <c r="G12" s="12"/>
      <c r="H12" s="12" t="s">
        <v>23</v>
      </c>
      <c r="I12" s="12">
        <v>1</v>
      </c>
      <c r="J12" s="12">
        <v>0</v>
      </c>
      <c r="K12" s="12"/>
      <c r="L12" s="12">
        <f>1</f>
        <v>1</v>
      </c>
      <c r="M12" s="12">
        <f>-1+1-3-1+1+1-2+1+2+2-1-1-0-1-1+1-1+1+1+1-1+1+2-1+2+1-1+1+0-0+1+1+1-2-1+1-2+1</f>
        <v>4</v>
      </c>
      <c r="O12" s="4">
        <f>75</f>
        <v>75</v>
      </c>
      <c r="P12" s="4">
        <f>69</f>
        <v>69</v>
      </c>
      <c r="Q12" s="3"/>
      <c r="R12" s="3"/>
      <c r="S12" s="3"/>
      <c r="T12" s="3"/>
      <c r="U12" s="3">
        <f>-1</f>
        <v>-1</v>
      </c>
      <c r="V12" s="3"/>
      <c r="X12" t="s">
        <v>126</v>
      </c>
    </row>
    <row r="13" spans="1:27" x14ac:dyDescent="0.25">
      <c r="A13" s="11" t="s">
        <v>109</v>
      </c>
      <c r="B13" s="12" t="s">
        <v>30</v>
      </c>
      <c r="C13" s="12">
        <v>11</v>
      </c>
      <c r="D13" s="12">
        <v>8</v>
      </c>
      <c r="E13" s="12"/>
      <c r="F13" s="12">
        <f>C13-D13</f>
        <v>3</v>
      </c>
      <c r="G13" s="12"/>
      <c r="H13" s="13" t="s">
        <v>31</v>
      </c>
      <c r="I13" s="12"/>
      <c r="J13" s="12"/>
      <c r="K13" s="12"/>
      <c r="L13" s="12"/>
      <c r="M13" s="12">
        <f>0+2+1+3-2+1-0+0-1+2+1+1+2+1-0-0-1-1-2</f>
        <v>7</v>
      </c>
      <c r="O13" s="4"/>
      <c r="P13" s="4"/>
      <c r="Q13" s="3"/>
      <c r="R13" s="3"/>
      <c r="S13" s="3"/>
      <c r="T13" s="3"/>
      <c r="U13" s="3"/>
      <c r="V13" s="3"/>
      <c r="X13" t="s">
        <v>94</v>
      </c>
    </row>
    <row r="14" spans="1:27" x14ac:dyDescent="0.25">
      <c r="A14" s="11">
        <v>10</v>
      </c>
      <c r="B14" s="12" t="s">
        <v>29</v>
      </c>
      <c r="C14" s="12">
        <v>17</v>
      </c>
      <c r="D14" s="12">
        <v>15</v>
      </c>
      <c r="E14" s="12"/>
      <c r="F14" s="12">
        <f t="shared" ref="F14" si="2">C14-D14</f>
        <v>2</v>
      </c>
      <c r="G14" s="12"/>
      <c r="H14" s="13" t="s">
        <v>36</v>
      </c>
      <c r="I14" s="12">
        <v>0</v>
      </c>
      <c r="J14" s="12">
        <v>3</v>
      </c>
      <c r="K14" s="12"/>
      <c r="L14" s="12">
        <f>-1-2-1</f>
        <v>-4</v>
      </c>
      <c r="M14" s="12">
        <f>2+1+2+1+1+0-1-1+1+1-1-1+1-1+0-3+1+1+1+2-1-1-1+3+2-1-2+1+1-1-2-1</f>
        <v>4</v>
      </c>
      <c r="O14" s="4">
        <f>(82+79+82)/3</f>
        <v>81</v>
      </c>
      <c r="P14" s="4">
        <f>(78+75+77)/3</f>
        <v>76.666666666666671</v>
      </c>
      <c r="Q14" s="3">
        <f>2+1+1</f>
        <v>4</v>
      </c>
      <c r="R14" s="3"/>
      <c r="S14" s="3">
        <f>1</f>
        <v>1</v>
      </c>
      <c r="T14" s="3"/>
      <c r="U14" s="3">
        <f>0.25+1.5+6.25</f>
        <v>8</v>
      </c>
      <c r="V14" s="3">
        <f>2+1+3</f>
        <v>6</v>
      </c>
      <c r="X14" t="s">
        <v>95</v>
      </c>
    </row>
    <row r="15" spans="1:27" x14ac:dyDescent="0.25">
      <c r="A15" s="11" t="s">
        <v>119</v>
      </c>
      <c r="B15" s="12" t="s">
        <v>38</v>
      </c>
      <c r="C15" s="12">
        <v>23</v>
      </c>
      <c r="D15" s="12">
        <v>22</v>
      </c>
      <c r="E15" s="12"/>
      <c r="F15" s="12">
        <f t="shared" ref="F15:F20" si="3">C15-D15</f>
        <v>1</v>
      </c>
      <c r="G15" s="12"/>
      <c r="H15" s="13" t="s">
        <v>20</v>
      </c>
      <c r="I15" s="12">
        <v>1</v>
      </c>
      <c r="J15" s="12">
        <v>0</v>
      </c>
      <c r="K15" s="12"/>
      <c r="L15" s="13">
        <f>2</f>
        <v>2</v>
      </c>
      <c r="M15" s="13">
        <f>2-1-2+2+2+2-0+1+0-0+0-1-1+0-2-3+0+1-0+1-1-0+0-1-1+1-2+2-1-1+0+1+1-1+1-1-2-1+0-1+1-1+1+1+0+2</f>
        <v>-2</v>
      </c>
      <c r="O15" s="4">
        <f>69</f>
        <v>69</v>
      </c>
      <c r="P15" s="4">
        <f>69</f>
        <v>69</v>
      </c>
      <c r="Q15" s="3">
        <f>3</f>
        <v>3</v>
      </c>
      <c r="R15" s="3"/>
      <c r="S15" s="3"/>
      <c r="T15" s="3"/>
      <c r="U15" s="3">
        <f>0.5</f>
        <v>0.5</v>
      </c>
      <c r="V15" s="3"/>
      <c r="X15" t="s">
        <v>105</v>
      </c>
    </row>
    <row r="16" spans="1:27" x14ac:dyDescent="0.25">
      <c r="A16" s="11" t="s">
        <v>119</v>
      </c>
      <c r="B16" s="12" t="s">
        <v>32</v>
      </c>
      <c r="C16" s="12">
        <v>14</v>
      </c>
      <c r="D16" s="12">
        <v>13</v>
      </c>
      <c r="E16" s="12"/>
      <c r="F16" s="12">
        <f t="shared" si="3"/>
        <v>1</v>
      </c>
      <c r="G16" s="12"/>
      <c r="H16" s="13" t="s">
        <v>41</v>
      </c>
      <c r="I16" s="12">
        <v>0</v>
      </c>
      <c r="J16" s="12">
        <v>2</v>
      </c>
      <c r="K16" s="12"/>
      <c r="L16" s="12">
        <f>0-0</f>
        <v>0</v>
      </c>
      <c r="M16" s="12">
        <f>1+0+2+0+1+1-2+2-2+2+3-2-1+1+2-1-2+1-1-1-1-1+1+1+2-0-0</f>
        <v>6</v>
      </c>
      <c r="O16" s="4">
        <f>(73+69)/2</f>
        <v>71</v>
      </c>
      <c r="P16" s="4">
        <f>(73+69)/2</f>
        <v>71</v>
      </c>
      <c r="Q16" s="3">
        <f>2+3</f>
        <v>5</v>
      </c>
      <c r="R16" s="3"/>
      <c r="S16" s="3">
        <f>1</f>
        <v>1</v>
      </c>
      <c r="T16" s="3"/>
      <c r="U16" s="3">
        <f>3+0.5</f>
        <v>3.5</v>
      </c>
      <c r="V16" s="3">
        <f>1</f>
        <v>1</v>
      </c>
      <c r="X16" t="s">
        <v>111</v>
      </c>
    </row>
    <row r="17" spans="1:24" x14ac:dyDescent="0.25">
      <c r="A17" s="14">
        <v>13</v>
      </c>
      <c r="B17" s="15" t="s">
        <v>37</v>
      </c>
      <c r="C17" s="15">
        <v>19</v>
      </c>
      <c r="D17" s="15">
        <v>20</v>
      </c>
      <c r="E17" s="15">
        <v>1</v>
      </c>
      <c r="F17" s="15">
        <f t="shared" si="3"/>
        <v>-1</v>
      </c>
      <c r="G17" s="15"/>
      <c r="H17" s="16" t="s">
        <v>27</v>
      </c>
      <c r="I17" s="15">
        <v>1</v>
      </c>
      <c r="J17" s="15">
        <v>3</v>
      </c>
      <c r="K17" s="15"/>
      <c r="L17" s="16">
        <f>-1-2+2-0</f>
        <v>-1</v>
      </c>
      <c r="M17" s="16">
        <f>-1+1+1-1+1-0+1+1-1+2+1-1+0-3-2-0+1-1+1+0+2+1-0-1+1+1-1+1-0-0+1-1+2-1+3-1-2+2-0</f>
        <v>7</v>
      </c>
      <c r="O17" s="4">
        <f>(83+79+76+74)/4</f>
        <v>78</v>
      </c>
      <c r="P17" s="4">
        <f>(77+73+70+68)/4</f>
        <v>72</v>
      </c>
      <c r="Q17" s="3">
        <f>1+2+2+1</f>
        <v>6</v>
      </c>
      <c r="R17" s="3">
        <f>1</f>
        <v>1</v>
      </c>
      <c r="S17" s="3"/>
      <c r="T17" s="3"/>
      <c r="U17" s="3">
        <f>4.5-0.5+0-0.5</f>
        <v>3.5</v>
      </c>
      <c r="V17" s="3">
        <f>4+3+2+1</f>
        <v>10</v>
      </c>
      <c r="X17" t="s">
        <v>113</v>
      </c>
    </row>
    <row r="18" spans="1:24" x14ac:dyDescent="0.25">
      <c r="A18" s="14" t="s">
        <v>120</v>
      </c>
      <c r="B18" s="15" t="s">
        <v>44</v>
      </c>
      <c r="C18" s="15">
        <v>25</v>
      </c>
      <c r="D18" s="15">
        <v>28</v>
      </c>
      <c r="E18" s="15">
        <v>1</v>
      </c>
      <c r="F18" s="15">
        <f t="shared" si="3"/>
        <v>-3</v>
      </c>
      <c r="G18" s="15"/>
      <c r="H18" s="16" t="s">
        <v>20</v>
      </c>
      <c r="I18" s="15">
        <v>2</v>
      </c>
      <c r="J18" s="15">
        <v>0</v>
      </c>
      <c r="K18" s="15"/>
      <c r="L18" s="16">
        <f>1+0</f>
        <v>1</v>
      </c>
      <c r="M18" s="16">
        <f>1+1+1-0-3+2-1+0-1-0+1-3-1-1-2-2+1+1-1-2+1-1+1+1+1+0+1+2-1+1-1+0+0+0+1-2-1-1+1-1-1-1-0+1-1-1-0-1-1+1+0</f>
        <v>-11</v>
      </c>
      <c r="O18" s="4">
        <f>(71+69)/2</f>
        <v>70</v>
      </c>
      <c r="P18" s="4">
        <f>(69+67)/2</f>
        <v>68</v>
      </c>
      <c r="Q18" s="3">
        <f>2+3</f>
        <v>5</v>
      </c>
      <c r="R18" s="3"/>
      <c r="S18" s="3"/>
      <c r="T18" s="3"/>
      <c r="U18" s="3">
        <f>-4.5-2.5</f>
        <v>-7</v>
      </c>
      <c r="V18" s="3"/>
      <c r="X18" t="s">
        <v>116</v>
      </c>
    </row>
    <row r="19" spans="1:24" x14ac:dyDescent="0.25">
      <c r="A19" s="14" t="s">
        <v>120</v>
      </c>
      <c r="B19" s="15" t="s">
        <v>39</v>
      </c>
      <c r="C19" s="15">
        <v>19</v>
      </c>
      <c r="D19" s="15">
        <v>22</v>
      </c>
      <c r="E19" s="15">
        <v>1</v>
      </c>
      <c r="F19" s="15">
        <f t="shared" si="3"/>
        <v>-3</v>
      </c>
      <c r="G19" s="15"/>
      <c r="H19" s="16" t="s">
        <v>23</v>
      </c>
      <c r="I19" s="15">
        <v>1</v>
      </c>
      <c r="J19" s="15">
        <v>2</v>
      </c>
      <c r="K19" s="15"/>
      <c r="L19" s="16">
        <f>0-2+1</f>
        <v>-1</v>
      </c>
      <c r="M19" s="16">
        <f>1+1-1-2+1-0-1-0-1+1-1+1-2-1+1-0+0-1-1+0-2-1+1+0-0+2-1+2+0-2+2+1+2+1+1-2-1+1-0-2+1</f>
        <v>-2</v>
      </c>
      <c r="O19" s="4">
        <f>(77+78+76)/3</f>
        <v>77</v>
      </c>
      <c r="P19" s="4">
        <f>(69+71+69)/3</f>
        <v>69.666666666666671</v>
      </c>
      <c r="Q19" s="3">
        <f>3+2+2</f>
        <v>7</v>
      </c>
      <c r="R19" s="3"/>
      <c r="S19" s="3">
        <f>1</f>
        <v>1</v>
      </c>
      <c r="T19" s="3"/>
      <c r="U19" s="3">
        <f>-1+1.5-0.75</f>
        <v>-0.25</v>
      </c>
      <c r="V19" s="3">
        <f>3+2+2</f>
        <v>7</v>
      </c>
      <c r="X19" t="s">
        <v>118</v>
      </c>
    </row>
    <row r="20" spans="1:24" x14ac:dyDescent="0.25">
      <c r="A20" s="1" t="s">
        <v>120</v>
      </c>
      <c r="B20" s="15" t="s">
        <v>40</v>
      </c>
      <c r="C20" s="15">
        <v>7</v>
      </c>
      <c r="D20" s="15">
        <v>10</v>
      </c>
      <c r="E20" s="15"/>
      <c r="F20" s="15">
        <f t="shared" si="3"/>
        <v>-3</v>
      </c>
      <c r="G20" s="15"/>
      <c r="H20" s="16" t="s">
        <v>41</v>
      </c>
      <c r="I20" s="15"/>
      <c r="J20" s="15"/>
      <c r="K20" s="15"/>
      <c r="L20" s="15"/>
      <c r="M20" s="15">
        <f>-1+1+0+2-1-1-2+1-1+3+0-3-1-2+1-1-0</f>
        <v>-5</v>
      </c>
      <c r="O20" s="4"/>
      <c r="P20" s="4"/>
      <c r="Q20" s="3"/>
      <c r="R20" s="3"/>
      <c r="S20" s="3"/>
      <c r="T20" s="3"/>
      <c r="U20" s="3"/>
      <c r="V20" s="3"/>
      <c r="X20" t="s">
        <v>122</v>
      </c>
    </row>
    <row r="21" spans="1:24" x14ac:dyDescent="0.25">
      <c r="A21" s="14" t="s">
        <v>120</v>
      </c>
      <c r="B21" s="15" t="s">
        <v>43</v>
      </c>
      <c r="C21" s="15">
        <v>25</v>
      </c>
      <c r="D21" s="15">
        <v>28</v>
      </c>
      <c r="E21" s="15"/>
      <c r="F21" s="15">
        <f t="shared" ref="F21" si="4">C21-D21</f>
        <v>-3</v>
      </c>
      <c r="G21" s="15"/>
      <c r="H21" s="16" t="s">
        <v>27</v>
      </c>
      <c r="I21" s="15">
        <v>4</v>
      </c>
      <c r="J21" s="15">
        <v>2</v>
      </c>
      <c r="K21" s="15"/>
      <c r="L21" s="16">
        <f>-1+1+1+0+0-2</f>
        <v>-1</v>
      </c>
      <c r="M21" s="16">
        <f>0-1-1-2-1+0+2-0-2-2-1+0-2+0+0-1-0-2+1+2+0-1+1+1-2-0-0+1+2-1+2+0-1-1+2+0-1-0-1-2-1+1-0+0-1+2-1+1+1+0+0-2</f>
        <v>-11</v>
      </c>
      <c r="O21" s="4">
        <f>(81+81+84+80+82+78)/6</f>
        <v>81</v>
      </c>
      <c r="P21" s="4">
        <f>(74+74+78+73+75+71)/6</f>
        <v>74.166666666666671</v>
      </c>
      <c r="Q21" s="3">
        <f>1+1+1+1</f>
        <v>4</v>
      </c>
      <c r="R21" s="3">
        <f>1</f>
        <v>1</v>
      </c>
      <c r="S21" s="3">
        <f>1+1+1</f>
        <v>3</v>
      </c>
      <c r="T21" s="3"/>
      <c r="U21" s="3">
        <f>-1.25+1.5+2.5-0.5+4.25+1.5</f>
        <v>8</v>
      </c>
      <c r="V21" s="3">
        <f>2+4+2+1+2+2</f>
        <v>13</v>
      </c>
      <c r="X21" t="s">
        <v>125</v>
      </c>
    </row>
    <row r="22" spans="1:24" x14ac:dyDescent="0.25">
      <c r="A22" s="14">
        <v>18</v>
      </c>
      <c r="B22" s="15" t="s">
        <v>42</v>
      </c>
      <c r="C22" s="15">
        <v>6</v>
      </c>
      <c r="D22" s="15">
        <v>11</v>
      </c>
      <c r="E22" s="15"/>
      <c r="F22" s="15">
        <f t="shared" ref="F22" si="5">C22-D22</f>
        <v>-5</v>
      </c>
      <c r="G22" s="15"/>
      <c r="H22" s="16" t="s">
        <v>41</v>
      </c>
      <c r="I22" s="15">
        <v>0</v>
      </c>
      <c r="J22" s="15">
        <v>1</v>
      </c>
      <c r="K22" s="15"/>
      <c r="L22" s="15">
        <f>0</f>
        <v>0</v>
      </c>
      <c r="M22" s="15">
        <f>0+1+2-2-1-1+0-1+1-0-1+3-3-1+2-2-0</f>
        <v>-3</v>
      </c>
      <c r="O22" s="4">
        <f>87</f>
        <v>87</v>
      </c>
      <c r="P22" s="4">
        <f>75</f>
        <v>75</v>
      </c>
      <c r="Q22" s="3"/>
      <c r="R22" s="3"/>
      <c r="S22" s="3"/>
      <c r="T22" s="3"/>
      <c r="U22" s="3">
        <f>2.5</f>
        <v>2.5</v>
      </c>
      <c r="V22" s="3">
        <f>5</f>
        <v>5</v>
      </c>
      <c r="X22" t="s">
        <v>128</v>
      </c>
    </row>
    <row r="23" spans="1:24" x14ac:dyDescent="0.25">
      <c r="A23" s="14" t="s">
        <v>108</v>
      </c>
      <c r="B23" s="15" t="s">
        <v>45</v>
      </c>
      <c r="C23" s="15">
        <v>7</v>
      </c>
      <c r="D23" s="15">
        <v>13</v>
      </c>
      <c r="E23" s="15"/>
      <c r="F23" s="15">
        <f>C23-D23</f>
        <v>-6</v>
      </c>
      <c r="G23" s="15"/>
      <c r="H23" s="16" t="s">
        <v>23</v>
      </c>
      <c r="I23" s="15"/>
      <c r="J23" s="15"/>
      <c r="K23" s="15"/>
      <c r="L23" s="15"/>
      <c r="M23" s="15">
        <f>0+1-1+2+1-0-0+0+1-1+1-2-1+1-2-1-1-1-1+0</f>
        <v>-4</v>
      </c>
      <c r="O23" s="4"/>
      <c r="P23" s="4"/>
      <c r="Q23" s="3"/>
      <c r="R23" s="3"/>
      <c r="S23" s="3"/>
      <c r="T23" s="3"/>
      <c r="U23" s="3"/>
      <c r="V23" s="3"/>
      <c r="X23" t="s">
        <v>113</v>
      </c>
    </row>
    <row r="24" spans="1:24" x14ac:dyDescent="0.25">
      <c r="A24" s="14" t="s">
        <v>108</v>
      </c>
      <c r="B24" s="15" t="s">
        <v>49</v>
      </c>
      <c r="C24" s="15">
        <v>10</v>
      </c>
      <c r="D24" s="15">
        <v>16</v>
      </c>
      <c r="E24" s="15"/>
      <c r="F24" s="15">
        <f>C24-D24</f>
        <v>-6</v>
      </c>
      <c r="G24" s="15"/>
      <c r="H24" s="16" t="s">
        <v>33</v>
      </c>
      <c r="I24" s="15">
        <v>4</v>
      </c>
      <c r="J24" s="15">
        <v>1</v>
      </c>
      <c r="K24" s="15"/>
      <c r="L24" s="15">
        <f>1-0+1+2+0</f>
        <v>4</v>
      </c>
      <c r="M24" s="15">
        <f>-1-0-1-0-1-1-1+3+0+1-2-2-2+0-0-1-2-1-1+2-1+1-0+1+2+0</f>
        <v>-7</v>
      </c>
      <c r="O24" s="4">
        <f>(78+80+83+71+77)/5</f>
        <v>77.8</v>
      </c>
      <c r="P24" s="4">
        <f>(68+71+74+62+69)/5</f>
        <v>68.8</v>
      </c>
      <c r="Q24" s="3">
        <f>2+1+1+3+4</f>
        <v>11</v>
      </c>
      <c r="R24" s="3">
        <f>1</f>
        <v>1</v>
      </c>
      <c r="S24" s="3">
        <f>1</f>
        <v>1</v>
      </c>
      <c r="T24" s="3"/>
      <c r="U24" s="3">
        <f>-4.5-1.5+0.5-8.75-3.75</f>
        <v>-18</v>
      </c>
      <c r="V24" s="3">
        <f>2+5+4</f>
        <v>11</v>
      </c>
    </row>
    <row r="25" spans="1:24" x14ac:dyDescent="0.25">
      <c r="A25" s="14" t="s">
        <v>121</v>
      </c>
      <c r="B25" s="15" t="s">
        <v>46</v>
      </c>
      <c r="C25" s="15">
        <v>5</v>
      </c>
      <c r="D25" s="15">
        <v>12</v>
      </c>
      <c r="E25" s="15"/>
      <c r="F25" s="15">
        <f t="shared" ref="F25" si="6">C25-D25</f>
        <v>-7</v>
      </c>
      <c r="G25" s="15"/>
      <c r="H25" s="16" t="s">
        <v>27</v>
      </c>
      <c r="I25" s="15">
        <v>0</v>
      </c>
      <c r="J25" s="15">
        <v>1</v>
      </c>
      <c r="K25" s="15"/>
      <c r="L25" s="16">
        <f>-1</f>
        <v>-1</v>
      </c>
      <c r="M25" s="15">
        <f>-2+1-2-1+0+2-1-1-1-2-0-1-1-1-0-1+0-1</f>
        <v>-12</v>
      </c>
      <c r="O25" s="4">
        <f>74</f>
        <v>74</v>
      </c>
      <c r="P25" s="4">
        <f>69</f>
        <v>69</v>
      </c>
      <c r="Q25" s="3">
        <f>2</f>
        <v>2</v>
      </c>
      <c r="R25" s="3"/>
      <c r="S25" s="3"/>
      <c r="T25" s="3"/>
      <c r="U25" s="3">
        <f>-1.75</f>
        <v>-1.75</v>
      </c>
      <c r="V25" s="3">
        <f>2</f>
        <v>2</v>
      </c>
    </row>
    <row r="26" spans="1:24" x14ac:dyDescent="0.25">
      <c r="A26" s="14" t="s">
        <v>121</v>
      </c>
      <c r="B26" s="15" t="s">
        <v>47</v>
      </c>
      <c r="C26" s="15">
        <v>9</v>
      </c>
      <c r="D26" s="15">
        <v>16</v>
      </c>
      <c r="E26" s="15"/>
      <c r="F26" s="15">
        <f>C26-D26</f>
        <v>-7</v>
      </c>
      <c r="G26" s="15"/>
      <c r="H26" s="16" t="s">
        <v>23</v>
      </c>
      <c r="I26" s="15">
        <v>1</v>
      </c>
      <c r="J26" s="15">
        <v>2</v>
      </c>
      <c r="K26" s="15"/>
      <c r="L26" s="15">
        <f>-1-1+0</f>
        <v>-2</v>
      </c>
      <c r="M26" s="15">
        <f>-2+0-1-1-0+1+2-1-1-1-2+1+1-2-2-3+1+1+0-2-3-0-1-1+0</f>
        <v>-16</v>
      </c>
      <c r="O26" s="4">
        <f>(85+82+74)/3</f>
        <v>80.333333333333329</v>
      </c>
      <c r="P26" s="4">
        <f>(80+77+69)/3</f>
        <v>75.333333333333329</v>
      </c>
      <c r="Q26" s="3">
        <f>1+2+1</f>
        <v>4</v>
      </c>
      <c r="R26" s="3"/>
      <c r="S26" s="3">
        <f>1</f>
        <v>1</v>
      </c>
      <c r="T26" s="3"/>
      <c r="U26" s="3">
        <f>4.75+3.5-0.5</f>
        <v>7.75</v>
      </c>
      <c r="V26" s="3">
        <f>4+3+1</f>
        <v>8</v>
      </c>
    </row>
    <row r="27" spans="1:24" x14ac:dyDescent="0.25">
      <c r="A27" s="14">
        <v>23</v>
      </c>
      <c r="B27" s="15" t="s">
        <v>48</v>
      </c>
      <c r="C27" s="15">
        <v>5</v>
      </c>
      <c r="D27" s="15">
        <v>13</v>
      </c>
      <c r="E27" s="15"/>
      <c r="F27" s="15">
        <f>C27-D27</f>
        <v>-8</v>
      </c>
      <c r="G27" s="15"/>
      <c r="H27" s="16" t="s">
        <v>23</v>
      </c>
      <c r="I27" s="15">
        <v>1</v>
      </c>
      <c r="J27" s="15">
        <v>1</v>
      </c>
      <c r="K27" s="15"/>
      <c r="L27" s="16">
        <f>-1+0</f>
        <v>-1</v>
      </c>
      <c r="M27" s="16">
        <f>0-1-1-2-0+0+1-2-1-1-0-3+1+0-1-0-1+0</f>
        <v>-11</v>
      </c>
      <c r="O27" s="4">
        <f>(80+77)/2</f>
        <v>78.5</v>
      </c>
      <c r="P27" s="4">
        <f>(72+70)/2</f>
        <v>71</v>
      </c>
      <c r="Q27" s="3">
        <f>1+1</f>
        <v>2</v>
      </c>
      <c r="R27" s="3"/>
      <c r="S27" s="3">
        <f>1</f>
        <v>1</v>
      </c>
      <c r="T27" s="3"/>
      <c r="U27" s="3">
        <f>-0.5-2.75</f>
        <v>-3.25</v>
      </c>
      <c r="V27" s="3">
        <f>2</f>
        <v>2</v>
      </c>
    </row>
    <row r="28" spans="1:24" x14ac:dyDescent="0.25">
      <c r="A28" s="14">
        <v>24</v>
      </c>
      <c r="B28" s="15" t="s">
        <v>50</v>
      </c>
      <c r="C28" s="15">
        <v>36</v>
      </c>
      <c r="D28" s="15">
        <v>49</v>
      </c>
      <c r="E28" s="15">
        <v>1</v>
      </c>
      <c r="F28" s="15">
        <f t="shared" ref="F28" si="7">C28-D28</f>
        <v>-13</v>
      </c>
      <c r="G28" s="15"/>
      <c r="H28" s="16" t="s">
        <v>23</v>
      </c>
      <c r="I28" s="15">
        <v>3</v>
      </c>
      <c r="J28" s="15">
        <v>4</v>
      </c>
      <c r="K28" s="15"/>
      <c r="L28" s="16">
        <f>1-1-1+1-1-2+2</f>
        <v>-1</v>
      </c>
      <c r="M28" s="16">
        <f>1-1+1-1-2-3-1+1-1-0-0+1-1+2-2-1-1+1-2-1+2-1+2+2-0+1+1+1-0+1-1-1+1-2-1-1+1-1+0+1-1+1+3-1-0-1-2-0-1+1-1+1-0+2+2-2+1-2+1+1-0-1-1+3-1-0+2+1+1+0+2-2+1-0-1-0-1+0+1-1-1+1-1-2+2</f>
        <v>-1</v>
      </c>
      <c r="O28" s="4">
        <f>(81+83+81+79+80+87+77)/7</f>
        <v>81.142857142857139</v>
      </c>
      <c r="P28" s="4">
        <f>(74+76+73+72+73+80+70)/7</f>
        <v>74</v>
      </c>
      <c r="Q28" s="3">
        <f>1+1+1+1+1</f>
        <v>5</v>
      </c>
      <c r="R28" s="3"/>
      <c r="S28" s="3">
        <f>1+1+1+1+1</f>
        <v>5</v>
      </c>
      <c r="T28" s="3"/>
      <c r="U28" s="3">
        <f>-1.25+3.5-2.5-0.5+1.25+3.5-2.5</f>
        <v>1.5</v>
      </c>
      <c r="V28" s="3">
        <f>2+5+2+2+1+4+2</f>
        <v>18</v>
      </c>
    </row>
    <row r="30" spans="1:24" x14ac:dyDescent="0.25">
      <c r="O30" s="4"/>
      <c r="P30" s="4"/>
      <c r="Q30" s="3"/>
      <c r="R30" s="3"/>
      <c r="S30" s="3"/>
      <c r="T30" s="3"/>
      <c r="U30" s="3"/>
      <c r="V30" s="3"/>
    </row>
    <row r="31" spans="1:24" x14ac:dyDescent="0.25">
      <c r="O31" s="4"/>
      <c r="P31" s="4"/>
      <c r="Q31" s="3"/>
      <c r="R31" s="3"/>
      <c r="S31" s="3"/>
      <c r="T31" s="3"/>
      <c r="U31" s="3"/>
      <c r="V31" s="3"/>
    </row>
    <row r="32" spans="1:24" x14ac:dyDescent="0.25">
      <c r="O32" s="4"/>
      <c r="P32" s="4"/>
      <c r="Q32" s="3"/>
      <c r="R32" s="3"/>
      <c r="S32" s="3"/>
      <c r="T32" s="3"/>
      <c r="U32" s="3"/>
      <c r="V32" s="3"/>
    </row>
    <row r="33" spans="1:22" x14ac:dyDescent="0.25">
      <c r="O33" s="4"/>
      <c r="P33" s="4"/>
      <c r="Q33" s="3"/>
      <c r="R33" s="3"/>
      <c r="S33" s="3"/>
      <c r="T33" s="3"/>
      <c r="U33" s="3"/>
      <c r="V33" s="3"/>
    </row>
    <row r="34" spans="1:22" x14ac:dyDescent="0.25">
      <c r="O34" s="4"/>
      <c r="P34" s="4"/>
      <c r="Q34" s="3"/>
      <c r="R34" s="3"/>
      <c r="S34" s="3"/>
      <c r="T34" s="3"/>
      <c r="U34" s="3"/>
      <c r="V34" s="3"/>
    </row>
    <row r="35" spans="1:22" x14ac:dyDescent="0.25">
      <c r="O35" s="4"/>
      <c r="P35" s="4"/>
      <c r="Q35" s="3"/>
      <c r="R35" s="3"/>
      <c r="S35" s="3"/>
      <c r="T35" s="3"/>
      <c r="U35" s="3"/>
      <c r="V35" s="3"/>
    </row>
    <row r="36" spans="1:22" x14ac:dyDescent="0.25">
      <c r="O36" s="4"/>
      <c r="P36" s="4"/>
      <c r="Q36" s="3"/>
      <c r="R36" s="3"/>
      <c r="S36" s="3"/>
      <c r="T36" s="3"/>
      <c r="U36" s="3"/>
      <c r="V36" s="3"/>
    </row>
    <row r="37" spans="1:22" x14ac:dyDescent="0.25">
      <c r="O37" s="4"/>
      <c r="P37" s="4"/>
      <c r="Q37" s="3"/>
      <c r="R37" s="3"/>
      <c r="S37" s="3"/>
      <c r="T37" s="3"/>
      <c r="U37" s="3"/>
      <c r="V37" s="3"/>
    </row>
    <row r="38" spans="1:22" x14ac:dyDescent="0.25">
      <c r="O38" s="4"/>
      <c r="P38" s="4"/>
      <c r="Q38" s="3"/>
      <c r="R38" s="3"/>
      <c r="S38" s="3"/>
      <c r="T38" s="3"/>
      <c r="U38" s="3"/>
      <c r="V38" s="3"/>
    </row>
    <row r="39" spans="1:22" x14ac:dyDescent="0.25">
      <c r="A39" s="14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O39" s="4"/>
      <c r="P39" s="4"/>
      <c r="Q39" s="3"/>
      <c r="R39" s="3"/>
      <c r="S39" s="3"/>
      <c r="T39" s="3"/>
      <c r="U39" s="3"/>
      <c r="V39" s="3"/>
    </row>
    <row r="40" spans="1:22" x14ac:dyDescent="0.25">
      <c r="O40" s="4"/>
      <c r="P40" s="4"/>
      <c r="Q40" s="3"/>
      <c r="R40" s="3"/>
      <c r="S40" s="3"/>
      <c r="T40" s="3"/>
      <c r="U40" s="3"/>
      <c r="V40" s="3"/>
    </row>
    <row r="41" spans="1:22" x14ac:dyDescent="0.25">
      <c r="O41" s="4"/>
      <c r="P41" s="4"/>
      <c r="Q41" s="3"/>
      <c r="R41" s="3"/>
      <c r="S41" s="3"/>
      <c r="T41" s="3"/>
      <c r="U41" s="3"/>
      <c r="V41" s="3"/>
    </row>
    <row r="42" spans="1:22" x14ac:dyDescent="0.25">
      <c r="O42" s="4"/>
      <c r="P42" s="4"/>
      <c r="Q42" s="3"/>
      <c r="R42" s="3"/>
      <c r="S42" s="3"/>
      <c r="T42" s="3"/>
      <c r="U42" s="3"/>
      <c r="V42" s="3"/>
    </row>
    <row r="43" spans="1:22" x14ac:dyDescent="0.25">
      <c r="O43" s="4"/>
      <c r="P43" s="4"/>
      <c r="Q43" s="3"/>
      <c r="R43" s="3"/>
      <c r="S43" s="3"/>
      <c r="T43" s="3"/>
      <c r="U43" s="3"/>
      <c r="V43" s="3"/>
    </row>
    <row r="44" spans="1:22" x14ac:dyDescent="0.25">
      <c r="A44" s="14"/>
      <c r="L44" s="15"/>
      <c r="M44" s="15"/>
      <c r="O44" s="4"/>
      <c r="P44" s="4"/>
      <c r="Q44" s="3"/>
      <c r="R44" s="3"/>
      <c r="S44" s="3"/>
      <c r="T44" s="3"/>
      <c r="U44" s="3"/>
      <c r="V44" s="3"/>
    </row>
    <row r="45" spans="1:22" x14ac:dyDescent="0.25">
      <c r="A45" s="14"/>
      <c r="L45" s="16"/>
      <c r="M45" s="16"/>
      <c r="O45" s="4"/>
      <c r="P45" s="4"/>
      <c r="Q45" s="3"/>
      <c r="R45" s="3"/>
      <c r="S45" s="3"/>
      <c r="T45" s="3"/>
      <c r="U45" s="3"/>
      <c r="V45" s="3"/>
    </row>
    <row r="46" spans="1:22" x14ac:dyDescent="0.25">
      <c r="O46" s="4"/>
      <c r="P46" s="4"/>
      <c r="Q46" s="3"/>
      <c r="R46" s="3"/>
      <c r="S46" s="3"/>
      <c r="T46" s="3"/>
      <c r="U46" s="3"/>
      <c r="V46" s="3"/>
    </row>
    <row r="47" spans="1:22" x14ac:dyDescent="0.25">
      <c r="O47" s="4"/>
      <c r="P47" s="4"/>
      <c r="Q47" s="3"/>
      <c r="R47" s="3"/>
      <c r="S47" s="3"/>
      <c r="T47" s="3"/>
      <c r="U47" s="3"/>
      <c r="V47" s="3"/>
    </row>
    <row r="48" spans="1:22" x14ac:dyDescent="0.25">
      <c r="O48" s="4"/>
      <c r="P48" s="4"/>
      <c r="Q48" s="3"/>
      <c r="R48" s="3"/>
      <c r="S48" s="3"/>
      <c r="T48" s="3"/>
      <c r="U48" s="3"/>
      <c r="V48" s="3"/>
    </row>
    <row r="49" spans="1:22" x14ac:dyDescent="0.25">
      <c r="O49" s="4"/>
      <c r="P49" s="4"/>
      <c r="Q49" s="3"/>
      <c r="R49" s="3"/>
      <c r="S49" s="3"/>
      <c r="T49" s="3"/>
      <c r="U49" s="3"/>
      <c r="V49" s="3"/>
    </row>
    <row r="50" spans="1:22" x14ac:dyDescent="0.25">
      <c r="A50" s="18" t="s">
        <v>51</v>
      </c>
      <c r="B50" s="19"/>
      <c r="C50" s="19"/>
      <c r="D50" s="19"/>
      <c r="E50" s="19"/>
      <c r="F50" s="19"/>
      <c r="G50" s="19"/>
      <c r="H50" s="20"/>
      <c r="I50" s="19"/>
      <c r="J50" s="19"/>
      <c r="K50" s="19"/>
      <c r="L50" s="20"/>
      <c r="M50" s="20"/>
      <c r="O50" s="4"/>
      <c r="P50" s="4"/>
      <c r="Q50" s="3"/>
      <c r="R50" s="3"/>
      <c r="S50" s="3"/>
      <c r="T50" s="3"/>
      <c r="U50" s="3"/>
      <c r="V50" s="3"/>
    </row>
    <row r="51" spans="1:22" x14ac:dyDescent="0.25">
      <c r="A51" s="23">
        <f>C51+D51</f>
        <v>13</v>
      </c>
      <c r="B51" s="21" t="s">
        <v>54</v>
      </c>
      <c r="C51" s="21">
        <v>8</v>
      </c>
      <c r="D51" s="21">
        <v>5</v>
      </c>
      <c r="E51" s="21"/>
      <c r="F51" s="21">
        <f>C51-D51</f>
        <v>3</v>
      </c>
      <c r="G51" s="21"/>
      <c r="H51" s="21" t="s">
        <v>23</v>
      </c>
      <c r="I51" s="21">
        <v>3</v>
      </c>
      <c r="J51" s="21">
        <v>4</v>
      </c>
      <c r="K51" s="21"/>
      <c r="L51" s="21">
        <f>1-1-2+2-1-1+1</f>
        <v>-1</v>
      </c>
      <c r="M51" s="21">
        <f>-1+1-1+0+3+0+1-1-2+2-1-1+1</f>
        <v>1</v>
      </c>
      <c r="O51" s="4">
        <f>(77+78+82+78+78+75+74)/7</f>
        <v>77.428571428571431</v>
      </c>
      <c r="P51" s="4">
        <f>(73+74+78+74+74+70+70)/7</f>
        <v>73.285714285714292</v>
      </c>
      <c r="Q51" s="3">
        <f>4+3+1+3+3+2+1</f>
        <v>17</v>
      </c>
      <c r="R51" s="3"/>
      <c r="S51" s="3">
        <f>1+1+1</f>
        <v>3</v>
      </c>
      <c r="T51" s="3"/>
      <c r="U51" s="3">
        <f>-2.25+1.5+1.5+1.5+0.5-0+0.25</f>
        <v>3</v>
      </c>
      <c r="V51" s="3">
        <f>2+2+3+2+2+2</f>
        <v>13</v>
      </c>
    </row>
    <row r="52" spans="1:22" x14ac:dyDescent="0.25">
      <c r="A52" s="18">
        <f t="shared" ref="A52:A53" si="8">C52+D52</f>
        <v>9</v>
      </c>
      <c r="B52" s="21" t="s">
        <v>52</v>
      </c>
      <c r="C52" s="21">
        <v>3</v>
      </c>
      <c r="D52" s="21">
        <v>6</v>
      </c>
      <c r="E52" s="21"/>
      <c r="F52" s="21">
        <f t="shared" ref="F52:F79" si="9">C52-D52</f>
        <v>-3</v>
      </c>
      <c r="G52" s="21"/>
      <c r="H52" s="22" t="s">
        <v>31</v>
      </c>
      <c r="I52" s="21"/>
      <c r="J52" s="21"/>
      <c r="K52" s="21"/>
      <c r="L52" s="22"/>
      <c r="M52" s="22">
        <f>0+0-0+1-2-2-1-1-1</f>
        <v>-6</v>
      </c>
      <c r="O52" s="4"/>
      <c r="P52" s="4"/>
      <c r="Q52" s="3"/>
      <c r="R52" s="3"/>
      <c r="S52" s="3"/>
      <c r="T52" s="3"/>
      <c r="U52" s="3"/>
      <c r="V52" s="3"/>
    </row>
    <row r="53" spans="1:22" x14ac:dyDescent="0.25">
      <c r="A53" s="18">
        <f t="shared" si="8"/>
        <v>9</v>
      </c>
      <c r="B53" s="21" t="s">
        <v>53</v>
      </c>
      <c r="C53" s="21">
        <v>4</v>
      </c>
      <c r="D53" s="21">
        <v>5</v>
      </c>
      <c r="E53" s="21"/>
      <c r="F53" s="21">
        <f t="shared" si="9"/>
        <v>-1</v>
      </c>
      <c r="G53" s="21"/>
      <c r="H53" s="22" t="s">
        <v>36</v>
      </c>
      <c r="I53" s="21"/>
      <c r="J53" s="21"/>
      <c r="K53" s="21"/>
      <c r="L53" s="22"/>
      <c r="M53" s="22">
        <f>2-1-1+0+0+1-1-1-3</f>
        <v>-4</v>
      </c>
      <c r="O53" s="4"/>
      <c r="P53" s="4"/>
      <c r="Q53" s="3"/>
      <c r="R53" s="3"/>
      <c r="S53" s="3"/>
      <c r="T53" s="3"/>
      <c r="U53" s="3"/>
      <c r="V53" s="3"/>
    </row>
    <row r="54" spans="1:22" x14ac:dyDescent="0.25">
      <c r="A54" s="18">
        <f>C54+D54</f>
        <v>6</v>
      </c>
      <c r="B54" s="21" t="s">
        <v>55</v>
      </c>
      <c r="C54" s="21">
        <v>4</v>
      </c>
      <c r="D54" s="21">
        <v>2</v>
      </c>
      <c r="E54" s="21"/>
      <c r="F54" s="21">
        <f t="shared" si="9"/>
        <v>2</v>
      </c>
      <c r="G54" s="21"/>
      <c r="H54" s="21" t="s">
        <v>33</v>
      </c>
      <c r="I54" s="21"/>
      <c r="J54" s="21"/>
      <c r="K54" s="21"/>
      <c r="L54" s="22"/>
      <c r="M54" s="22">
        <f>0+0-1+1+1</f>
        <v>1</v>
      </c>
      <c r="O54" s="4"/>
      <c r="P54" s="4"/>
      <c r="Q54" s="3"/>
      <c r="R54" s="3"/>
      <c r="S54" s="3"/>
      <c r="T54" s="3"/>
      <c r="U54" s="3"/>
      <c r="V54" s="3"/>
    </row>
    <row r="55" spans="1:22" x14ac:dyDescent="0.25">
      <c r="A55" s="23">
        <f>C55+D55</f>
        <v>6</v>
      </c>
      <c r="B55" s="21" t="s">
        <v>56</v>
      </c>
      <c r="C55" s="21">
        <v>4</v>
      </c>
      <c r="D55" s="21">
        <v>2</v>
      </c>
      <c r="E55" s="21"/>
      <c r="F55" s="21">
        <f t="shared" si="9"/>
        <v>2</v>
      </c>
      <c r="G55" s="21"/>
      <c r="H55" s="21" t="s">
        <v>25</v>
      </c>
      <c r="I55" s="21"/>
      <c r="J55" s="21"/>
      <c r="K55" s="21"/>
      <c r="L55" s="21"/>
      <c r="M55" s="21">
        <f>-1-0+1+0+0+1</f>
        <v>1</v>
      </c>
      <c r="O55" s="4"/>
      <c r="P55" s="4"/>
      <c r="Q55" s="3"/>
      <c r="R55" s="3"/>
      <c r="S55" s="3"/>
      <c r="T55" s="3"/>
      <c r="U55" s="3"/>
      <c r="V55" s="3"/>
    </row>
    <row r="56" spans="1:22" x14ac:dyDescent="0.25">
      <c r="A56" s="18">
        <f>C56+D56</f>
        <v>6</v>
      </c>
      <c r="B56" s="21" t="s">
        <v>57</v>
      </c>
      <c r="C56" s="21">
        <v>2</v>
      </c>
      <c r="D56" s="21">
        <v>4</v>
      </c>
      <c r="E56" s="21"/>
      <c r="F56" s="21">
        <f t="shared" si="9"/>
        <v>-2</v>
      </c>
      <c r="G56" s="21"/>
      <c r="H56" s="21" t="s">
        <v>23</v>
      </c>
      <c r="I56" s="21"/>
      <c r="J56" s="21"/>
      <c r="K56" s="21"/>
      <c r="L56" s="21"/>
      <c r="M56" s="21">
        <f>-1-1+1-1-0+2</f>
        <v>0</v>
      </c>
      <c r="O56" s="4"/>
      <c r="P56" s="4"/>
      <c r="Q56" s="3"/>
      <c r="R56" s="3"/>
      <c r="S56" s="3"/>
      <c r="T56" s="3"/>
      <c r="U56" s="3"/>
      <c r="V56" s="3"/>
    </row>
    <row r="57" spans="1:22" x14ac:dyDescent="0.25">
      <c r="A57" s="18">
        <f>C57+D57</f>
        <v>5</v>
      </c>
      <c r="B57" s="21" t="s">
        <v>58</v>
      </c>
      <c r="C57" s="21">
        <v>1</v>
      </c>
      <c r="D57" s="21">
        <v>4</v>
      </c>
      <c r="E57" s="21"/>
      <c r="F57" s="21">
        <f t="shared" si="9"/>
        <v>-3</v>
      </c>
      <c r="G57" s="21"/>
      <c r="H57" s="22" t="s">
        <v>41</v>
      </c>
      <c r="I57" s="21"/>
      <c r="J57" s="21"/>
      <c r="K57" s="21"/>
      <c r="L57" s="21"/>
      <c r="M57" s="21">
        <f>-1-0+1-1-1</f>
        <v>-2</v>
      </c>
      <c r="O57" s="4"/>
      <c r="P57" s="4"/>
      <c r="Q57" s="3"/>
      <c r="R57" s="3"/>
      <c r="S57" s="3"/>
      <c r="T57" s="3"/>
      <c r="U57" s="3"/>
      <c r="V57" s="3"/>
    </row>
    <row r="58" spans="1:22" x14ac:dyDescent="0.25">
      <c r="A58" s="18">
        <f t="shared" ref="A58:A79" si="10">C58+D58</f>
        <v>4</v>
      </c>
      <c r="B58" s="21" t="s">
        <v>59</v>
      </c>
      <c r="C58" s="21">
        <v>1</v>
      </c>
      <c r="D58" s="21">
        <v>3</v>
      </c>
      <c r="E58" s="19"/>
      <c r="F58" s="21">
        <f t="shared" si="9"/>
        <v>-2</v>
      </c>
      <c r="G58" s="19"/>
      <c r="H58" s="22" t="s">
        <v>36</v>
      </c>
      <c r="I58" s="21"/>
      <c r="J58" s="21"/>
      <c r="K58" s="21"/>
      <c r="L58" s="21"/>
      <c r="M58" s="21">
        <f>0-1-1-1</f>
        <v>-3</v>
      </c>
      <c r="O58" s="4"/>
      <c r="P58" s="4"/>
      <c r="Q58" s="3"/>
      <c r="R58" s="3"/>
      <c r="S58" s="3"/>
      <c r="T58" s="3"/>
      <c r="U58" s="3"/>
      <c r="V58" s="3"/>
    </row>
    <row r="59" spans="1:22" x14ac:dyDescent="0.25">
      <c r="A59" s="18">
        <f t="shared" si="10"/>
        <v>3</v>
      </c>
      <c r="B59" s="21" t="s">
        <v>60</v>
      </c>
      <c r="C59" s="21">
        <v>3</v>
      </c>
      <c r="D59" s="21">
        <v>0</v>
      </c>
      <c r="E59" s="21"/>
      <c r="F59" s="21">
        <f t="shared" si="9"/>
        <v>3</v>
      </c>
      <c r="G59" s="21"/>
      <c r="H59" s="22" t="s">
        <v>25</v>
      </c>
      <c r="I59" s="21"/>
      <c r="J59" s="21"/>
      <c r="K59" s="21"/>
      <c r="L59" s="21"/>
      <c r="M59" s="21">
        <f>1+1+1</f>
        <v>3</v>
      </c>
      <c r="O59" s="4"/>
      <c r="P59" s="4"/>
      <c r="Q59" s="3"/>
      <c r="R59" s="3"/>
      <c r="S59" s="3"/>
      <c r="T59" s="3"/>
      <c r="U59" s="3"/>
      <c r="V59" s="3"/>
    </row>
    <row r="60" spans="1:22" x14ac:dyDescent="0.25">
      <c r="A60" s="18">
        <f>C60+D60</f>
        <v>3</v>
      </c>
      <c r="B60" s="21" t="s">
        <v>61</v>
      </c>
      <c r="C60" s="21">
        <v>3</v>
      </c>
      <c r="D60" s="21">
        <v>0</v>
      </c>
      <c r="E60" s="19"/>
      <c r="F60" s="21">
        <f>C60-D60</f>
        <v>3</v>
      </c>
      <c r="G60" s="19"/>
      <c r="H60" s="22" t="s">
        <v>33</v>
      </c>
      <c r="I60" s="21"/>
      <c r="J60" s="21"/>
      <c r="K60" s="21"/>
      <c r="L60" s="21"/>
      <c r="M60" s="21">
        <f>1+2+1</f>
        <v>4</v>
      </c>
      <c r="O60" s="4"/>
      <c r="P60" s="4"/>
      <c r="Q60" s="3"/>
      <c r="R60" s="3"/>
      <c r="S60" s="3"/>
      <c r="T60" s="3"/>
      <c r="U60" s="3"/>
      <c r="V60" s="3"/>
    </row>
    <row r="61" spans="1:22" x14ac:dyDescent="0.25">
      <c r="A61" s="18">
        <f t="shared" si="10"/>
        <v>3</v>
      </c>
      <c r="B61" s="21" t="s">
        <v>62</v>
      </c>
      <c r="C61" s="21">
        <v>1</v>
      </c>
      <c r="D61" s="21">
        <v>2</v>
      </c>
      <c r="E61" s="19"/>
      <c r="F61" s="21">
        <f t="shared" si="9"/>
        <v>-1</v>
      </c>
      <c r="G61" s="19"/>
      <c r="H61" s="22" t="s">
        <v>41</v>
      </c>
      <c r="I61" s="21"/>
      <c r="J61" s="21"/>
      <c r="K61" s="21"/>
      <c r="L61" s="21"/>
      <c r="M61" s="21">
        <f>0-1-2</f>
        <v>-3</v>
      </c>
      <c r="O61" s="4"/>
      <c r="P61" s="4"/>
      <c r="Q61" s="3"/>
      <c r="R61" s="3"/>
      <c r="S61" s="3"/>
      <c r="T61" s="3"/>
      <c r="U61" s="3"/>
      <c r="V61" s="3"/>
    </row>
    <row r="62" spans="1:22" x14ac:dyDescent="0.25">
      <c r="A62" s="23">
        <f>C62+D62</f>
        <v>3</v>
      </c>
      <c r="B62" s="21" t="s">
        <v>63</v>
      </c>
      <c r="C62" s="21">
        <v>1</v>
      </c>
      <c r="D62" s="21">
        <v>2</v>
      </c>
      <c r="E62" s="21"/>
      <c r="F62" s="21">
        <f>C62-D62</f>
        <v>-1</v>
      </c>
      <c r="G62" s="21"/>
      <c r="H62" s="21" t="s">
        <v>27</v>
      </c>
      <c r="I62" s="21"/>
      <c r="J62" s="21"/>
      <c r="K62" s="21"/>
      <c r="L62" s="21"/>
      <c r="M62" s="21">
        <f>-1+2-1</f>
        <v>0</v>
      </c>
      <c r="O62" s="4"/>
      <c r="P62" s="4"/>
      <c r="Q62" s="3"/>
      <c r="R62" s="3"/>
      <c r="S62" s="3"/>
      <c r="T62" s="3"/>
      <c r="U62" s="3"/>
      <c r="V62" s="3"/>
    </row>
    <row r="63" spans="1:22" x14ac:dyDescent="0.25">
      <c r="A63" s="23">
        <f>C63+D63</f>
        <v>2</v>
      </c>
      <c r="B63" s="21" t="s">
        <v>64</v>
      </c>
      <c r="C63" s="21">
        <v>2</v>
      </c>
      <c r="D63" s="21">
        <v>0</v>
      </c>
      <c r="E63" s="21"/>
      <c r="F63" s="21">
        <f>C63-D63</f>
        <v>2</v>
      </c>
      <c r="G63" s="21"/>
      <c r="H63" s="21" t="s">
        <v>20</v>
      </c>
      <c r="I63" s="21"/>
      <c r="J63" s="21"/>
      <c r="K63" s="21"/>
      <c r="L63" s="21"/>
      <c r="M63" s="21">
        <f>1+0</f>
        <v>1</v>
      </c>
      <c r="O63" s="4"/>
      <c r="P63" s="4"/>
      <c r="Q63" s="3"/>
      <c r="R63" s="3"/>
      <c r="S63" s="3"/>
      <c r="T63" s="3"/>
      <c r="U63" s="3"/>
      <c r="V63" s="3"/>
    </row>
    <row r="64" spans="1:22" x14ac:dyDescent="0.25">
      <c r="A64" s="18">
        <f t="shared" si="10"/>
        <v>2</v>
      </c>
      <c r="B64" s="21" t="s">
        <v>65</v>
      </c>
      <c r="C64" s="21">
        <v>1</v>
      </c>
      <c r="D64" s="21">
        <v>1</v>
      </c>
      <c r="E64" s="19"/>
      <c r="F64" s="21">
        <f t="shared" si="9"/>
        <v>0</v>
      </c>
      <c r="G64" s="19"/>
      <c r="H64" s="22" t="s">
        <v>23</v>
      </c>
      <c r="I64" s="21"/>
      <c r="J64" s="21"/>
      <c r="K64" s="21"/>
      <c r="L64" s="21"/>
      <c r="M64" s="21">
        <f>-1+1</f>
        <v>0</v>
      </c>
      <c r="O64" s="4"/>
      <c r="P64" s="4"/>
      <c r="Q64" s="3"/>
      <c r="R64" s="3"/>
      <c r="S64" s="3"/>
      <c r="T64" s="3"/>
      <c r="U64" s="3"/>
      <c r="V64" s="3"/>
    </row>
    <row r="65" spans="1:23" x14ac:dyDescent="0.25">
      <c r="A65" s="18">
        <f t="shared" si="10"/>
        <v>2</v>
      </c>
      <c r="B65" s="21" t="s">
        <v>66</v>
      </c>
      <c r="C65" s="21">
        <v>1</v>
      </c>
      <c r="D65" s="21">
        <v>1</v>
      </c>
      <c r="E65" s="21"/>
      <c r="F65" s="21">
        <f t="shared" si="9"/>
        <v>0</v>
      </c>
      <c r="G65" s="21"/>
      <c r="H65" s="22" t="s">
        <v>23</v>
      </c>
      <c r="I65" s="21"/>
      <c r="J65" s="21"/>
      <c r="K65" s="21"/>
      <c r="L65" s="21"/>
      <c r="M65" s="21">
        <f>-2+0</f>
        <v>-2</v>
      </c>
      <c r="O65" s="4"/>
      <c r="P65" s="4"/>
      <c r="Q65" s="3"/>
      <c r="R65" s="3"/>
      <c r="S65" s="3"/>
      <c r="T65" s="3"/>
      <c r="U65" s="3"/>
      <c r="V65" s="3"/>
    </row>
    <row r="66" spans="1:23" x14ac:dyDescent="0.25">
      <c r="A66" s="18">
        <f t="shared" si="10"/>
        <v>2</v>
      </c>
      <c r="B66" s="21" t="s">
        <v>67</v>
      </c>
      <c r="C66" s="21">
        <v>1</v>
      </c>
      <c r="D66" s="21">
        <v>1</v>
      </c>
      <c r="E66" s="21"/>
      <c r="F66" s="21">
        <f t="shared" si="9"/>
        <v>0</v>
      </c>
      <c r="G66" s="21"/>
      <c r="H66" s="22" t="s">
        <v>27</v>
      </c>
      <c r="I66" s="21"/>
      <c r="J66" s="21"/>
      <c r="K66" s="21"/>
      <c r="L66" s="21"/>
      <c r="M66" s="21">
        <f>2-1</f>
        <v>1</v>
      </c>
      <c r="O66" s="4"/>
      <c r="P66" s="4"/>
      <c r="Q66" s="3"/>
      <c r="R66" s="3"/>
      <c r="S66" s="3"/>
      <c r="T66" s="3"/>
      <c r="U66" s="3"/>
      <c r="V66" s="3"/>
    </row>
    <row r="67" spans="1:23" x14ac:dyDescent="0.25">
      <c r="A67" s="18">
        <f>C67+D67</f>
        <v>2</v>
      </c>
      <c r="B67" s="21" t="s">
        <v>75</v>
      </c>
      <c r="C67" s="21">
        <v>0</v>
      </c>
      <c r="D67" s="21">
        <v>2</v>
      </c>
      <c r="E67" s="21"/>
      <c r="F67" s="21">
        <f>C67-D67</f>
        <v>-2</v>
      </c>
      <c r="G67" s="21"/>
      <c r="H67" s="22" t="s">
        <v>36</v>
      </c>
      <c r="I67" s="21">
        <v>0</v>
      </c>
      <c r="J67" s="21">
        <v>1</v>
      </c>
      <c r="K67" s="21"/>
      <c r="L67" s="21">
        <f>-2</f>
        <v>-2</v>
      </c>
      <c r="M67" s="21">
        <f>0-2</f>
        <v>-2</v>
      </c>
      <c r="O67" s="4">
        <f>79</f>
        <v>79</v>
      </c>
      <c r="P67" s="4">
        <f>74</f>
        <v>74</v>
      </c>
      <c r="Q67" s="3">
        <f>2</f>
        <v>2</v>
      </c>
      <c r="R67" s="3"/>
      <c r="S67" s="3">
        <f>1</f>
        <v>1</v>
      </c>
      <c r="T67" s="3"/>
      <c r="U67" s="3">
        <f>1.25</f>
        <v>1.25</v>
      </c>
      <c r="V67" s="3">
        <f>3</f>
        <v>3</v>
      </c>
    </row>
    <row r="68" spans="1:23" x14ac:dyDescent="0.25">
      <c r="A68" s="23">
        <f>C68+D68</f>
        <v>1</v>
      </c>
      <c r="B68" s="21" t="s">
        <v>68</v>
      </c>
      <c r="C68" s="21">
        <v>1</v>
      </c>
      <c r="D68" s="21">
        <v>0</v>
      </c>
      <c r="E68" s="21"/>
      <c r="F68" s="21">
        <f>C68-D68</f>
        <v>1</v>
      </c>
      <c r="G68" s="21"/>
      <c r="H68" s="21" t="s">
        <v>23</v>
      </c>
      <c r="I68" s="21"/>
      <c r="J68" s="21"/>
      <c r="K68" s="21"/>
      <c r="L68" s="21"/>
      <c r="M68" s="21">
        <f>1</f>
        <v>1</v>
      </c>
      <c r="O68" s="4"/>
      <c r="P68" s="4"/>
      <c r="Q68" s="3"/>
      <c r="R68" s="3"/>
      <c r="S68" s="3"/>
      <c r="T68" s="3"/>
      <c r="U68" s="3"/>
      <c r="V68" s="3"/>
    </row>
    <row r="69" spans="1:23" x14ac:dyDescent="0.25">
      <c r="A69" s="18">
        <f>C69+D69</f>
        <v>1</v>
      </c>
      <c r="B69" s="21" t="s">
        <v>69</v>
      </c>
      <c r="C69" s="21">
        <v>1</v>
      </c>
      <c r="D69" s="21">
        <v>0</v>
      </c>
      <c r="E69" s="21"/>
      <c r="F69" s="21">
        <f>C69-D69</f>
        <v>1</v>
      </c>
      <c r="G69" s="21"/>
      <c r="H69" s="22" t="s">
        <v>20</v>
      </c>
      <c r="I69" s="21"/>
      <c r="J69" s="21"/>
      <c r="K69" s="21"/>
      <c r="L69" s="21"/>
      <c r="M69" s="21">
        <f>1</f>
        <v>1</v>
      </c>
      <c r="O69" s="4"/>
      <c r="P69" s="4"/>
      <c r="Q69" s="3"/>
      <c r="R69" s="3"/>
      <c r="S69" s="3"/>
      <c r="T69" s="3"/>
      <c r="U69" s="3"/>
      <c r="V69" s="3"/>
    </row>
    <row r="70" spans="1:23" x14ac:dyDescent="0.25">
      <c r="A70" s="18">
        <f>C70+D70</f>
        <v>1</v>
      </c>
      <c r="B70" s="21" t="s">
        <v>70</v>
      </c>
      <c r="C70" s="21">
        <v>1</v>
      </c>
      <c r="D70" s="21">
        <v>0</v>
      </c>
      <c r="E70" s="21"/>
      <c r="F70" s="21">
        <f>C70-D70</f>
        <v>1</v>
      </c>
      <c r="G70" s="21"/>
      <c r="H70" s="22" t="s">
        <v>23</v>
      </c>
      <c r="I70" s="21"/>
      <c r="J70" s="21"/>
      <c r="K70" s="21"/>
      <c r="L70" s="21"/>
      <c r="M70" s="21">
        <f>1</f>
        <v>1</v>
      </c>
      <c r="O70" s="4"/>
      <c r="P70" s="4"/>
      <c r="Q70" s="3"/>
      <c r="R70" s="3"/>
      <c r="S70" s="3"/>
      <c r="T70" s="3"/>
      <c r="U70" s="3"/>
      <c r="V70" s="3"/>
    </row>
    <row r="71" spans="1:23" x14ac:dyDescent="0.25">
      <c r="A71" s="18">
        <f t="shared" si="10"/>
        <v>1</v>
      </c>
      <c r="B71" s="21" t="s">
        <v>71</v>
      </c>
      <c r="C71" s="21">
        <v>1</v>
      </c>
      <c r="D71" s="21">
        <v>0</v>
      </c>
      <c r="E71" s="21"/>
      <c r="F71" s="21">
        <f t="shared" si="9"/>
        <v>1</v>
      </c>
      <c r="G71" s="21"/>
      <c r="H71" s="22" t="s">
        <v>23</v>
      </c>
      <c r="I71" s="21"/>
      <c r="J71" s="21"/>
      <c r="K71" s="21"/>
      <c r="L71" s="22"/>
      <c r="M71" s="21">
        <f>1</f>
        <v>1</v>
      </c>
      <c r="O71" s="4"/>
      <c r="P71" s="4"/>
      <c r="Q71" s="3"/>
      <c r="R71" s="3"/>
      <c r="S71" s="3"/>
      <c r="T71" s="3"/>
      <c r="U71" s="3"/>
      <c r="V71" s="3"/>
    </row>
    <row r="72" spans="1:23" x14ac:dyDescent="0.25">
      <c r="A72" s="18">
        <f>C72+D72</f>
        <v>1</v>
      </c>
      <c r="B72" s="21" t="s">
        <v>76</v>
      </c>
      <c r="C72" s="21">
        <v>0</v>
      </c>
      <c r="D72" s="21">
        <v>1</v>
      </c>
      <c r="E72" s="21"/>
      <c r="F72" s="21">
        <f>C72-D72</f>
        <v>-1</v>
      </c>
      <c r="G72" s="21"/>
      <c r="H72" s="22" t="s">
        <v>27</v>
      </c>
      <c r="I72" s="21"/>
      <c r="J72" s="21"/>
      <c r="K72" s="21"/>
      <c r="L72" s="21"/>
      <c r="M72" s="21">
        <f>-1</f>
        <v>-1</v>
      </c>
      <c r="O72" s="4"/>
      <c r="P72" s="4"/>
      <c r="Q72" s="3"/>
      <c r="R72" s="3"/>
      <c r="S72" s="3"/>
      <c r="T72" s="3"/>
      <c r="U72" s="3"/>
      <c r="V72" s="3"/>
    </row>
    <row r="73" spans="1:23" x14ac:dyDescent="0.25">
      <c r="A73" s="18">
        <f t="shared" si="10"/>
        <v>1</v>
      </c>
      <c r="B73" s="21" t="s">
        <v>72</v>
      </c>
      <c r="C73" s="21">
        <v>0</v>
      </c>
      <c r="D73" s="21">
        <v>1</v>
      </c>
      <c r="E73" s="21"/>
      <c r="F73" s="21">
        <f t="shared" si="9"/>
        <v>-1</v>
      </c>
      <c r="G73" s="21"/>
      <c r="H73" s="22" t="s">
        <v>27</v>
      </c>
      <c r="I73" s="21"/>
      <c r="J73" s="21"/>
      <c r="K73" s="21"/>
      <c r="L73" s="22"/>
      <c r="M73" s="21">
        <f>-1</f>
        <v>-1</v>
      </c>
      <c r="O73" s="4"/>
      <c r="P73" s="4"/>
      <c r="Q73" s="3"/>
      <c r="R73" s="3"/>
      <c r="S73" s="3"/>
      <c r="T73" s="3"/>
      <c r="U73" s="3"/>
      <c r="V73" s="3"/>
    </row>
    <row r="74" spans="1:23" x14ac:dyDescent="0.25">
      <c r="A74" s="23">
        <f t="shared" si="10"/>
        <v>1</v>
      </c>
      <c r="B74" s="21" t="s">
        <v>73</v>
      </c>
      <c r="C74" s="21">
        <v>0</v>
      </c>
      <c r="D74" s="21">
        <v>1</v>
      </c>
      <c r="E74" s="21"/>
      <c r="F74" s="21">
        <f t="shared" si="9"/>
        <v>-1</v>
      </c>
      <c r="G74" s="21"/>
      <c r="H74" s="21" t="s">
        <v>27</v>
      </c>
      <c r="I74" s="21"/>
      <c r="J74" s="21"/>
      <c r="K74" s="21"/>
      <c r="L74" s="21"/>
      <c r="M74" s="21">
        <f>0</f>
        <v>0</v>
      </c>
      <c r="O74" s="4"/>
      <c r="P74" s="4"/>
      <c r="Q74" s="3"/>
      <c r="R74" s="3"/>
      <c r="S74" s="3"/>
      <c r="T74" s="3"/>
      <c r="U74" s="3"/>
      <c r="V74" s="3"/>
    </row>
    <row r="75" spans="1:23" x14ac:dyDescent="0.25">
      <c r="A75" s="23">
        <f t="shared" si="10"/>
        <v>1</v>
      </c>
      <c r="B75" s="21" t="s">
        <v>74</v>
      </c>
      <c r="C75" s="21">
        <v>0</v>
      </c>
      <c r="D75" s="21">
        <v>1</v>
      </c>
      <c r="E75" s="21"/>
      <c r="F75" s="21">
        <f t="shared" si="9"/>
        <v>-1</v>
      </c>
      <c r="G75" s="21"/>
      <c r="H75" s="21" t="s">
        <v>27</v>
      </c>
      <c r="I75" s="21"/>
      <c r="J75" s="21"/>
      <c r="K75" s="21"/>
      <c r="L75" s="21"/>
      <c r="M75" s="21">
        <f>0</f>
        <v>0</v>
      </c>
      <c r="O75" s="4"/>
      <c r="P75" s="4"/>
      <c r="Q75" s="3"/>
      <c r="R75" s="3"/>
      <c r="S75" s="3"/>
      <c r="T75" s="3"/>
      <c r="U75" s="3"/>
      <c r="V75" s="3"/>
    </row>
    <row r="76" spans="1:23" x14ac:dyDescent="0.25">
      <c r="A76" s="18">
        <f t="shared" si="10"/>
        <v>1</v>
      </c>
      <c r="B76" s="21" t="s">
        <v>106</v>
      </c>
      <c r="C76" s="21">
        <v>0</v>
      </c>
      <c r="D76" s="21">
        <v>1</v>
      </c>
      <c r="E76" s="21"/>
      <c r="F76" s="21">
        <f t="shared" si="9"/>
        <v>-1</v>
      </c>
      <c r="G76" s="21"/>
      <c r="H76" s="22" t="s">
        <v>27</v>
      </c>
      <c r="I76" s="21">
        <v>0</v>
      </c>
      <c r="J76" s="21">
        <v>1</v>
      </c>
      <c r="K76" s="21"/>
      <c r="L76" s="21">
        <f>-2</f>
        <v>-2</v>
      </c>
      <c r="M76" s="21">
        <f>-2</f>
        <v>-2</v>
      </c>
      <c r="O76" s="4">
        <f>75</f>
        <v>75</v>
      </c>
      <c r="P76" s="4">
        <f>78</f>
        <v>78</v>
      </c>
      <c r="Q76" s="3">
        <f>2</f>
        <v>2</v>
      </c>
      <c r="R76" s="3"/>
      <c r="S76" s="3">
        <f>1</f>
        <v>1</v>
      </c>
      <c r="T76" s="3"/>
      <c r="U76" s="3">
        <f>5.25</f>
        <v>5.25</v>
      </c>
      <c r="V76" s="3">
        <f>1</f>
        <v>1</v>
      </c>
    </row>
    <row r="77" spans="1:23" x14ac:dyDescent="0.25">
      <c r="A77" s="18">
        <f t="shared" si="10"/>
        <v>1</v>
      </c>
      <c r="B77" s="21" t="s">
        <v>77</v>
      </c>
      <c r="C77" s="21">
        <v>0</v>
      </c>
      <c r="D77" s="21">
        <v>1</v>
      </c>
      <c r="E77" s="21"/>
      <c r="F77" s="21">
        <f t="shared" si="9"/>
        <v>-1</v>
      </c>
      <c r="G77" s="21"/>
      <c r="H77" s="21" t="s">
        <v>27</v>
      </c>
      <c r="I77" s="21"/>
      <c r="J77" s="21"/>
      <c r="K77" s="21"/>
      <c r="L77" s="21"/>
      <c r="M77" s="21">
        <f>-1</f>
        <v>-1</v>
      </c>
      <c r="O77" s="4"/>
      <c r="P77" s="4"/>
      <c r="Q77" s="3"/>
      <c r="R77" s="3"/>
      <c r="S77" s="3"/>
      <c r="T77" s="3"/>
      <c r="U77" s="3"/>
      <c r="V77" s="3"/>
    </row>
    <row r="78" spans="1:23" ht="15.75" thickBot="1" x14ac:dyDescent="0.3">
      <c r="A78" s="18">
        <f t="shared" si="10"/>
        <v>1</v>
      </c>
      <c r="B78" s="21" t="s">
        <v>78</v>
      </c>
      <c r="C78" s="21">
        <v>0</v>
      </c>
      <c r="D78" s="21">
        <v>1</v>
      </c>
      <c r="E78" s="21"/>
      <c r="F78" s="21">
        <f t="shared" si="9"/>
        <v>-1</v>
      </c>
      <c r="G78" s="21"/>
      <c r="H78" s="22" t="s">
        <v>41</v>
      </c>
      <c r="I78" s="21"/>
      <c r="J78" s="21"/>
      <c r="K78" s="21"/>
      <c r="L78" s="21"/>
      <c r="M78" s="21">
        <f>-3</f>
        <v>-3</v>
      </c>
      <c r="O78" s="4"/>
      <c r="P78" s="4"/>
      <c r="Q78" s="3"/>
      <c r="R78" s="3"/>
      <c r="S78" s="3"/>
      <c r="T78" s="3"/>
      <c r="U78" s="3"/>
      <c r="V78" s="3"/>
    </row>
    <row r="79" spans="1:23" x14ac:dyDescent="0.25">
      <c r="A79" s="23">
        <f t="shared" si="10"/>
        <v>1</v>
      </c>
      <c r="B79" s="22" t="s">
        <v>79</v>
      </c>
      <c r="C79" s="22">
        <v>0</v>
      </c>
      <c r="D79" s="22">
        <v>1</v>
      </c>
      <c r="E79" s="22"/>
      <c r="F79" s="22">
        <f t="shared" si="9"/>
        <v>-1</v>
      </c>
      <c r="G79" s="22"/>
      <c r="H79" s="22" t="s">
        <v>80</v>
      </c>
      <c r="I79" s="22"/>
      <c r="J79" s="22"/>
      <c r="K79" s="22"/>
      <c r="L79" s="22"/>
      <c r="M79" s="22">
        <f>-2</f>
        <v>-2</v>
      </c>
      <c r="O79" s="4"/>
      <c r="P79" s="4"/>
      <c r="Q79" s="3"/>
      <c r="R79" s="3"/>
      <c r="S79" s="3"/>
      <c r="T79" s="3"/>
      <c r="U79" s="3"/>
      <c r="V79" s="3"/>
      <c r="W79" s="24" t="s">
        <v>81</v>
      </c>
    </row>
    <row r="80" spans="1:23" x14ac:dyDescent="0.25">
      <c r="W80" s="25" t="s">
        <v>82</v>
      </c>
    </row>
    <row r="81" spans="1:23" ht="15.75" thickBot="1" x14ac:dyDescent="0.3">
      <c r="W81" s="26" t="s">
        <v>83</v>
      </c>
    </row>
    <row r="82" spans="1:23" x14ac:dyDescent="0.25">
      <c r="W82" s="24" t="s">
        <v>84</v>
      </c>
    </row>
    <row r="83" spans="1:23" x14ac:dyDescent="0.25">
      <c r="W83" s="27" t="s">
        <v>85</v>
      </c>
    </row>
    <row r="84" spans="1:23" ht="15.75" thickBot="1" x14ac:dyDescent="0.3">
      <c r="W84" s="26" t="s">
        <v>86</v>
      </c>
    </row>
    <row r="86" spans="1:23" x14ac:dyDescent="0.25">
      <c r="C86" s="28">
        <f>SUM(C3:C84)</f>
        <v>470</v>
      </c>
      <c r="D86" s="28">
        <f>SUM(D3:D84)</f>
        <v>470</v>
      </c>
      <c r="E86" s="28">
        <f>SUM(E3:E84)</f>
        <v>4</v>
      </c>
      <c r="F86" s="28">
        <f>SUM(F3:F84)</f>
        <v>0</v>
      </c>
      <c r="G86" s="28"/>
      <c r="H86" s="28"/>
      <c r="I86" s="28">
        <f>SUM(I3:I84)</f>
        <v>34</v>
      </c>
      <c r="J86" s="28">
        <f>SUM(J3:J84)</f>
        <v>34</v>
      </c>
      <c r="K86" s="28">
        <f>SUM(K3:K84)</f>
        <v>0</v>
      </c>
      <c r="L86" s="28">
        <f>SUM(L3:L84)</f>
        <v>0</v>
      </c>
      <c r="M86" s="28">
        <f>SUM(M3:M84)</f>
        <v>0</v>
      </c>
      <c r="O86" s="29"/>
      <c r="P86" s="29"/>
      <c r="Q86" s="28">
        <f t="shared" ref="Q86:V86" si="11">SUM(Q3:Q84)</f>
        <v>104</v>
      </c>
      <c r="R86" s="28">
        <f t="shared" si="11"/>
        <v>14</v>
      </c>
      <c r="S86" s="28">
        <f t="shared" si="11"/>
        <v>22</v>
      </c>
      <c r="T86" s="28">
        <f t="shared" si="11"/>
        <v>3</v>
      </c>
      <c r="U86" s="28">
        <f t="shared" si="11"/>
        <v>0</v>
      </c>
      <c r="V86" s="28">
        <f t="shared" si="11"/>
        <v>129</v>
      </c>
    </row>
    <row r="87" spans="1:23" x14ac:dyDescent="0.25">
      <c r="O87" s="29"/>
      <c r="P87" s="29"/>
    </row>
    <row r="88" spans="1:23" x14ac:dyDescent="0.25">
      <c r="A88" s="1" t="s">
        <v>87</v>
      </c>
      <c r="B88" s="15" t="s">
        <v>88</v>
      </c>
      <c r="O88" s="29"/>
      <c r="P88" s="29"/>
    </row>
    <row r="89" spans="1:23" x14ac:dyDescent="0.25">
      <c r="A89" s="1" t="s">
        <v>91</v>
      </c>
      <c r="B89" s="30" t="s">
        <v>100</v>
      </c>
      <c r="O89" s="29"/>
      <c r="P89" s="29"/>
    </row>
    <row r="90" spans="1:23" x14ac:dyDescent="0.25">
      <c r="A90" s="1" t="s">
        <v>96</v>
      </c>
      <c r="B90" s="30" t="s">
        <v>97</v>
      </c>
      <c r="O90" s="29"/>
      <c r="P90" s="29"/>
    </row>
    <row r="91" spans="1:23" x14ac:dyDescent="0.25">
      <c r="A91" s="1" t="s">
        <v>98</v>
      </c>
      <c r="B91" s="30" t="s">
        <v>99</v>
      </c>
      <c r="O91" s="29"/>
      <c r="P91" s="29"/>
    </row>
    <row r="92" spans="1:23" x14ac:dyDescent="0.25">
      <c r="A92" s="1" t="s">
        <v>102</v>
      </c>
      <c r="B92" s="30" t="s">
        <v>103</v>
      </c>
      <c r="O92" s="29"/>
      <c r="P92" s="29"/>
    </row>
    <row r="93" spans="1:23" x14ac:dyDescent="0.25">
      <c r="A93" s="1" t="s">
        <v>114</v>
      </c>
      <c r="B93" s="30" t="s">
        <v>115</v>
      </c>
      <c r="O93" s="29"/>
      <c r="P93" s="29"/>
    </row>
    <row r="94" spans="1:23" x14ac:dyDescent="0.25">
      <c r="A94" s="1" t="s">
        <v>98</v>
      </c>
      <c r="B94" s="30" t="s">
        <v>127</v>
      </c>
      <c r="O94" s="29"/>
      <c r="P94" s="29"/>
    </row>
    <row r="95" spans="1:23" x14ac:dyDescent="0.25">
      <c r="B95" s="30"/>
      <c r="O95" s="29"/>
      <c r="P95" s="29"/>
    </row>
    <row r="96" spans="1:23" x14ac:dyDescent="0.25">
      <c r="B96" s="30"/>
      <c r="O96" s="31"/>
      <c r="P96" s="31"/>
    </row>
    <row r="97" spans="2:21" x14ac:dyDescent="0.25">
      <c r="B97" s="30"/>
      <c r="O97" s="31"/>
      <c r="P97" s="31"/>
    </row>
    <row r="98" spans="2:21" x14ac:dyDescent="0.25">
      <c r="B98" s="30"/>
      <c r="O98" s="29"/>
      <c r="P98" s="29"/>
    </row>
    <row r="99" spans="2:21" x14ac:dyDescent="0.25">
      <c r="B99" s="30"/>
      <c r="O99" s="29"/>
      <c r="P99" s="29"/>
    </row>
    <row r="100" spans="2:21" x14ac:dyDescent="0.25">
      <c r="B100" s="30"/>
      <c r="O100" s="29"/>
      <c r="P100" s="29"/>
    </row>
    <row r="101" spans="2:21" x14ac:dyDescent="0.25">
      <c r="B101" s="30"/>
      <c r="O101" s="29"/>
      <c r="P101" s="29"/>
    </row>
    <row r="102" spans="2:21" x14ac:dyDescent="0.25">
      <c r="B102" s="30"/>
      <c r="O102" s="29"/>
      <c r="P102" s="29"/>
    </row>
    <row r="103" spans="2:21" x14ac:dyDescent="0.25">
      <c r="B103" s="30"/>
      <c r="O103" s="29"/>
      <c r="P103" s="29"/>
    </row>
    <row r="104" spans="2:21" x14ac:dyDescent="0.25">
      <c r="B104" s="30"/>
      <c r="O104" s="29"/>
      <c r="P104" s="29"/>
    </row>
    <row r="105" spans="2:21" x14ac:dyDescent="0.25">
      <c r="B105" s="30"/>
      <c r="O105" s="31"/>
      <c r="P105" s="32"/>
    </row>
    <row r="106" spans="2:21" x14ac:dyDescent="0.25">
      <c r="B106" s="30"/>
      <c r="O106" s="31"/>
      <c r="P106" s="31"/>
    </row>
    <row r="107" spans="2:21" x14ac:dyDescent="0.25">
      <c r="B107" s="30"/>
      <c r="Q107" s="28"/>
      <c r="R107" s="28"/>
      <c r="S107" s="28"/>
      <c r="T107" s="28"/>
      <c r="U107" s="28"/>
    </row>
    <row r="108" spans="2:21" x14ac:dyDescent="0.25">
      <c r="B108" s="30"/>
    </row>
    <row r="109" spans="2:21" x14ac:dyDescent="0.25">
      <c r="B109" s="30"/>
    </row>
    <row r="110" spans="2:21" x14ac:dyDescent="0.25">
      <c r="B110" s="30"/>
    </row>
    <row r="111" spans="2:21" ht="16.5" customHeight="1" x14ac:dyDescent="0.25">
      <c r="B111" s="3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RCMP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johough</cp:lastModifiedBy>
  <dcterms:created xsi:type="dcterms:W3CDTF">2017-11-03T21:39:11Z</dcterms:created>
  <dcterms:modified xsi:type="dcterms:W3CDTF">2018-01-02T19:19:47Z</dcterms:modified>
</cp:coreProperties>
</file>