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fp.idir.bcgov\u144\johough$\Desktop\"/>
    </mc:Choice>
  </mc:AlternateContent>
  <bookViews>
    <workbookView xWindow="0" yWindow="0" windowWidth="17355" windowHeight="9660"/>
  </bookViews>
  <sheets>
    <sheet name="2018 Standings 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1" l="1"/>
  <c r="U16" i="1"/>
  <c r="U10" i="1"/>
  <c r="U9" i="1"/>
  <c r="V7" i="1"/>
  <c r="V16" i="1"/>
  <c r="Q16" i="1"/>
  <c r="V10" i="1"/>
  <c r="Q10" i="1"/>
  <c r="V9" i="1"/>
  <c r="Q9" i="1"/>
  <c r="P7" i="1"/>
  <c r="O7" i="1"/>
  <c r="P16" i="1"/>
  <c r="O16" i="1"/>
  <c r="P10" i="1"/>
  <c r="O10" i="1"/>
  <c r="P9" i="1"/>
  <c r="O9" i="1"/>
  <c r="M10" i="1"/>
  <c r="L10" i="1"/>
  <c r="M9" i="1"/>
  <c r="L9" i="1"/>
  <c r="M16" i="1"/>
  <c r="L16" i="1"/>
  <c r="M7" i="1"/>
  <c r="L7" i="1"/>
  <c r="S49" i="1"/>
  <c r="S19" i="1"/>
  <c r="S5" i="1"/>
  <c r="R5" i="1"/>
  <c r="S17" i="1"/>
  <c r="R17" i="1"/>
  <c r="U19" i="1"/>
  <c r="U49" i="1"/>
  <c r="U17" i="1"/>
  <c r="U5" i="1"/>
  <c r="V19" i="1"/>
  <c r="Q19" i="1"/>
  <c r="V49" i="1"/>
  <c r="V17" i="1"/>
  <c r="Q17" i="1"/>
  <c r="V5" i="1"/>
  <c r="Q5" i="1"/>
  <c r="P19" i="1"/>
  <c r="O19" i="1"/>
  <c r="P49" i="1"/>
  <c r="O49" i="1"/>
  <c r="P17" i="1"/>
  <c r="O17" i="1"/>
  <c r="P5" i="1"/>
  <c r="O5" i="1"/>
  <c r="M49" i="1"/>
  <c r="L49" i="1"/>
  <c r="M19" i="1"/>
  <c r="L19" i="1"/>
  <c r="M17" i="1"/>
  <c r="L17" i="1"/>
  <c r="M5" i="1"/>
  <c r="L5" i="1"/>
  <c r="U44" i="1"/>
  <c r="U21" i="1"/>
  <c r="U11" i="1"/>
  <c r="V44" i="1"/>
  <c r="V11" i="1"/>
  <c r="Q11" i="1"/>
  <c r="P21" i="1"/>
  <c r="O21" i="1"/>
  <c r="P44" i="1"/>
  <c r="O44" i="1"/>
  <c r="P11" i="1"/>
  <c r="O11" i="1"/>
  <c r="M21" i="1"/>
  <c r="L21" i="1"/>
  <c r="M44" i="1"/>
  <c r="L44" i="1"/>
  <c r="M11" i="1"/>
  <c r="L11" i="1"/>
  <c r="U13" i="1" l="1"/>
  <c r="U15" i="1"/>
  <c r="U20" i="1"/>
  <c r="V15" i="1"/>
  <c r="Q15" i="1"/>
  <c r="V13" i="1"/>
  <c r="Q13" i="1"/>
  <c r="S15" i="1"/>
  <c r="S13" i="1"/>
  <c r="Q20" i="1"/>
  <c r="P15" i="1"/>
  <c r="O15" i="1"/>
  <c r="P13" i="1"/>
  <c r="O13" i="1"/>
  <c r="P20" i="1"/>
  <c r="O20" i="1"/>
  <c r="M20" i="1"/>
  <c r="L20" i="1"/>
  <c r="M15" i="1"/>
  <c r="L15" i="1"/>
  <c r="M13" i="1"/>
  <c r="L13" i="1"/>
  <c r="U12" i="1" l="1"/>
  <c r="U14" i="1"/>
  <c r="U22" i="1"/>
  <c r="Q12" i="1"/>
  <c r="V14" i="1"/>
  <c r="Q14" i="1"/>
  <c r="V22" i="1"/>
  <c r="Q22" i="1"/>
  <c r="R22" i="1"/>
  <c r="R14" i="1"/>
  <c r="P12" i="1"/>
  <c r="O12" i="1"/>
  <c r="P14" i="1"/>
  <c r="O14" i="1"/>
  <c r="P22" i="1"/>
  <c r="O22" i="1"/>
  <c r="M12" i="1"/>
  <c r="L12" i="1"/>
  <c r="M14" i="1"/>
  <c r="L14" i="1"/>
  <c r="M22" i="1"/>
  <c r="L22" i="1"/>
  <c r="U18" i="1"/>
  <c r="U42" i="1"/>
  <c r="V42" i="1"/>
  <c r="Q42" i="1"/>
  <c r="V18" i="1"/>
  <c r="Q18" i="1"/>
  <c r="R42" i="1"/>
  <c r="R13" i="1"/>
  <c r="P42" i="1"/>
  <c r="O42" i="1"/>
  <c r="P18" i="1"/>
  <c r="O18" i="1"/>
  <c r="M42" i="1"/>
  <c r="L42" i="1"/>
  <c r="M18" i="1"/>
  <c r="L18" i="1"/>
  <c r="U8" i="1"/>
  <c r="U6" i="1"/>
  <c r="V8" i="1"/>
  <c r="T8" i="1"/>
  <c r="Q8" i="1"/>
  <c r="V21" i="1"/>
  <c r="Q6" i="1"/>
  <c r="P8" i="1"/>
  <c r="O8" i="1"/>
  <c r="P6" i="1"/>
  <c r="O6" i="1"/>
  <c r="M8" i="1"/>
  <c r="L8" i="1"/>
  <c r="M6" i="1"/>
  <c r="L6" i="1"/>
  <c r="U47" i="1"/>
  <c r="V12" i="1"/>
  <c r="V47" i="1"/>
  <c r="P47" i="1"/>
  <c r="O47" i="1"/>
  <c r="M47" i="1"/>
  <c r="L47" i="1"/>
  <c r="U52" i="1" l="1"/>
  <c r="U43" i="1"/>
  <c r="Q52" i="1"/>
  <c r="V43" i="1"/>
  <c r="P43" i="1"/>
  <c r="O43" i="1"/>
  <c r="P52" i="1"/>
  <c r="O52" i="1"/>
  <c r="M43" i="1"/>
  <c r="L43" i="1"/>
  <c r="M52" i="1"/>
  <c r="L52" i="1"/>
  <c r="A52" i="1"/>
  <c r="F52" i="1"/>
  <c r="T12" i="1"/>
  <c r="S16" i="1"/>
  <c r="S12" i="1"/>
  <c r="Q21" i="1"/>
  <c r="Q7" i="1"/>
  <c r="U54" i="1"/>
  <c r="Q44" i="1"/>
  <c r="Q43" i="1"/>
  <c r="V54" i="1"/>
  <c r="Q54" i="1"/>
  <c r="S18" i="1"/>
  <c r="S54" i="1"/>
  <c r="P54" i="1"/>
  <c r="O54" i="1"/>
  <c r="M54" i="1"/>
  <c r="L54" i="1"/>
  <c r="A54" i="1"/>
  <c r="F54" i="1"/>
  <c r="T5" i="1" l="1"/>
  <c r="S9" i="1"/>
  <c r="R9" i="1"/>
  <c r="S14" i="1"/>
  <c r="A49" i="1" l="1"/>
  <c r="U46" i="1"/>
  <c r="V46" i="1"/>
  <c r="Q46" i="1"/>
  <c r="T18" i="1"/>
  <c r="P46" i="1"/>
  <c r="O46" i="1"/>
  <c r="R46" i="1"/>
  <c r="R18" i="1"/>
  <c r="M46" i="1"/>
  <c r="L46" i="1"/>
  <c r="R15" i="1"/>
  <c r="R8" i="1"/>
  <c r="R16" i="1"/>
  <c r="R12" i="1"/>
  <c r="V6" i="1" l="1"/>
  <c r="V20" i="1"/>
  <c r="V63" i="1" s="1"/>
  <c r="T17" i="1"/>
  <c r="S8" i="1"/>
  <c r="S11" i="1"/>
  <c r="J63" i="1"/>
  <c r="I63" i="1"/>
  <c r="E63" i="1"/>
  <c r="D63" i="1"/>
  <c r="C63" i="1"/>
  <c r="F55" i="1"/>
  <c r="A55" i="1"/>
  <c r="F43" i="1"/>
  <c r="A43" i="1"/>
  <c r="F46" i="1"/>
  <c r="A46" i="1"/>
  <c r="F56" i="1"/>
  <c r="A56" i="1"/>
  <c r="F49" i="1"/>
  <c r="F19" i="1"/>
  <c r="M53" i="1"/>
  <c r="F53" i="1"/>
  <c r="A53" i="1"/>
  <c r="F44" i="1"/>
  <c r="A44" i="1"/>
  <c r="M51" i="1"/>
  <c r="F51" i="1"/>
  <c r="A51" i="1"/>
  <c r="F11" i="1"/>
  <c r="F47" i="1"/>
  <c r="A47" i="1"/>
  <c r="F42" i="1"/>
  <c r="A42" i="1"/>
  <c r="M50" i="1"/>
  <c r="F50" i="1"/>
  <c r="A50" i="1"/>
  <c r="M48" i="1"/>
  <c r="F48" i="1"/>
  <c r="A48" i="1"/>
  <c r="F9" i="1"/>
  <c r="M45" i="1"/>
  <c r="F45" i="1"/>
  <c r="A45" i="1"/>
  <c r="F21" i="1"/>
  <c r="F16" i="1"/>
  <c r="F12" i="1"/>
  <c r="F22" i="1"/>
  <c r="F14" i="1"/>
  <c r="F20" i="1"/>
  <c r="F15" i="1"/>
  <c r="F17" i="1"/>
  <c r="F13" i="1"/>
  <c r="F18" i="1"/>
  <c r="F6" i="1"/>
  <c r="F10" i="1"/>
  <c r="F8" i="1"/>
  <c r="F7" i="1"/>
  <c r="F5" i="1"/>
  <c r="Q63" i="1" l="1"/>
  <c r="R63" i="1"/>
  <c r="S63" i="1"/>
  <c r="T63" i="1"/>
  <c r="U63" i="1"/>
  <c r="M63" i="1"/>
  <c r="F63" i="1"/>
  <c r="L63" i="1"/>
</calcChain>
</file>

<file path=xl/sharedStrings.xml><?xml version="1.0" encoding="utf-8"?>
<sst xmlns="http://schemas.openxmlformats.org/spreadsheetml/2006/main" count="152" uniqueCount="109">
  <si>
    <t>Overall Standings</t>
  </si>
  <si>
    <t>Ties</t>
  </si>
  <si>
    <t>Current Month</t>
  </si>
  <si>
    <t>Current Month avg score</t>
  </si>
  <si>
    <t>Birdies</t>
  </si>
  <si>
    <t>GH</t>
  </si>
  <si>
    <t>BH</t>
  </si>
  <si>
    <t>Flaps</t>
  </si>
  <si>
    <t>HD</t>
  </si>
  <si>
    <t>Doubs</t>
  </si>
  <si>
    <t>Crooked Tree Rounds - month</t>
  </si>
  <si>
    <t>Ugly Tree Rounds</t>
  </si>
  <si>
    <t>C. Streak</t>
  </si>
  <si>
    <t>Beers - M</t>
  </si>
  <si>
    <t>BEERS year</t>
  </si>
  <si>
    <t>gross</t>
  </si>
  <si>
    <t>net</t>
  </si>
  <si>
    <t>Gross</t>
  </si>
  <si>
    <t>Net</t>
  </si>
  <si>
    <t>Eel</t>
  </si>
  <si>
    <t>Hound</t>
  </si>
  <si>
    <t>2W</t>
  </si>
  <si>
    <t>Mole</t>
  </si>
  <si>
    <t>3W</t>
  </si>
  <si>
    <t>Moose</t>
  </si>
  <si>
    <t>Ram</t>
  </si>
  <si>
    <t>1W</t>
  </si>
  <si>
    <t>Pup</t>
  </si>
  <si>
    <t>1L</t>
  </si>
  <si>
    <t>Bobcat</t>
  </si>
  <si>
    <t>2L</t>
  </si>
  <si>
    <t>HammerHead</t>
  </si>
  <si>
    <t>Harrier</t>
  </si>
  <si>
    <t>Eagle</t>
  </si>
  <si>
    <t>Woodpecker</t>
  </si>
  <si>
    <t>Wolf</t>
  </si>
  <si>
    <t>Wildebeest</t>
  </si>
  <si>
    <t>3L</t>
  </si>
  <si>
    <t>Owl</t>
  </si>
  <si>
    <t>Tortoise</t>
  </si>
  <si>
    <t>GP</t>
  </si>
  <si>
    <t>Hamster</t>
  </si>
  <si>
    <t>Javelina</t>
  </si>
  <si>
    <t>Fly</t>
  </si>
  <si>
    <t>Shrew</t>
  </si>
  <si>
    <t>Crane</t>
  </si>
  <si>
    <t>Gecko</t>
  </si>
  <si>
    <t>Silver</t>
  </si>
  <si>
    <t>Chipmunk</t>
  </si>
  <si>
    <t>Hawk</t>
  </si>
  <si>
    <t>Possum</t>
  </si>
  <si>
    <t xml:space="preserve">Yahk </t>
  </si>
  <si>
    <t>Panda</t>
  </si>
  <si>
    <t>Yorkie</t>
  </si>
  <si>
    <t>4W</t>
  </si>
  <si>
    <t>Herron</t>
  </si>
  <si>
    <t>Fawn</t>
  </si>
  <si>
    <t>Slug</t>
  </si>
  <si>
    <t>Record Streaks</t>
  </si>
  <si>
    <t>Eel - 16 Ws</t>
  </si>
  <si>
    <t>Eel - 13 Ls</t>
  </si>
  <si>
    <t>plus/minus over 500 at a point</t>
  </si>
  <si>
    <t>plus/minus over 500 for a year</t>
  </si>
  <si>
    <t>Eag +20</t>
  </si>
  <si>
    <t>Eag +19</t>
  </si>
  <si>
    <t>Wolf -26</t>
  </si>
  <si>
    <t>Wolf -25</t>
  </si>
  <si>
    <t>SOM</t>
  </si>
  <si>
    <t>Hammerhead - 66</t>
  </si>
  <si>
    <t>Ram - 68</t>
  </si>
  <si>
    <t>Wolf - 69</t>
  </si>
  <si>
    <t>Yahk - 69</t>
  </si>
  <si>
    <t>Silver - 90</t>
  </si>
  <si>
    <t>Silver - 83</t>
  </si>
  <si>
    <t>10S</t>
  </si>
  <si>
    <t>Yahk over Silver</t>
  </si>
  <si>
    <t xml:space="preserve">Hammerhead ace on 2 to temp green.  Only second ever in history of history…Hon mention to Pup holing out on 1 for FLAP </t>
  </si>
  <si>
    <t>Eel - 68</t>
  </si>
  <si>
    <t>harry - 69</t>
  </si>
  <si>
    <t>Unofficial Rec.</t>
  </si>
  <si>
    <t>14 feds in one round by HH/Harry/Mole/Eel</t>
  </si>
  <si>
    <t>Double GH on 1 by HH/Harry/Mole/Eel</t>
  </si>
  <si>
    <t>Wolf - 66</t>
  </si>
  <si>
    <t>Wolf over Bob (in a Dub)</t>
  </si>
  <si>
    <t>Pecker - 66</t>
  </si>
  <si>
    <t>Peck over Jav (In a Dub)</t>
  </si>
  <si>
    <t>Peck/Jav bounce back GATCH on 15 after a BATCH on 14.</t>
  </si>
  <si>
    <t xml:space="preserve">Coyote </t>
  </si>
  <si>
    <t>Fawn - 67</t>
  </si>
  <si>
    <t>Harry - 68</t>
  </si>
  <si>
    <t>Harry  - 66</t>
  </si>
  <si>
    <t>Moose - 67</t>
  </si>
  <si>
    <t>Beest - 68</t>
  </si>
  <si>
    <t>Anacondo</t>
  </si>
  <si>
    <t>Yahk  - 69</t>
  </si>
  <si>
    <t>Ram - 69</t>
  </si>
  <si>
    <t>Mole - 69</t>
  </si>
  <si>
    <t>5W</t>
  </si>
  <si>
    <t>10S-AX</t>
  </si>
  <si>
    <t>Beest/Jav/Peck/Wolf over Eag/Pup/Crane/Bob (-20 to -10)</t>
  </si>
  <si>
    <t>Beest - 64</t>
  </si>
  <si>
    <t>Tort - 68</t>
  </si>
  <si>
    <t>Silver - 68</t>
  </si>
  <si>
    <t>Owl - 69</t>
  </si>
  <si>
    <t>T2</t>
  </si>
  <si>
    <t>T5</t>
  </si>
  <si>
    <t>T8</t>
  </si>
  <si>
    <t>T10</t>
  </si>
  <si>
    <t>T14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</si>
</sst>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4" fontId="0" fillId="2" borderId="0" xfId="0" applyNumberFormat="1" applyFill="1"/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2" fillId="4" borderId="0" xfId="0" applyFont="1" applyFill="1"/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2" fillId="5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1" fillId="6" borderId="0" xfId="0" applyFont="1" applyFill="1" applyAlignment="1">
      <alignment horizontal="right"/>
    </xf>
    <xf numFmtId="0" fontId="0" fillId="6" borderId="0" xfId="0" applyFill="1"/>
    <xf numFmtId="0" fontId="3" fillId="6" borderId="0" xfId="0" applyFont="1" applyFill="1"/>
    <xf numFmtId="0" fontId="1" fillId="6" borderId="0" xfId="0" applyFont="1" applyFill="1"/>
    <xf numFmtId="0" fontId="2" fillId="6" borderId="0" xfId="0" applyFont="1" applyFill="1"/>
    <xf numFmtId="0" fontId="1" fillId="6" borderId="1" xfId="0" applyFont="1" applyFill="1" applyBorder="1"/>
    <xf numFmtId="0" fontId="2" fillId="6" borderId="2" xfId="0" applyFont="1" applyFill="1" applyBorder="1"/>
    <xf numFmtId="1" fontId="1" fillId="6" borderId="3" xfId="0" applyNumberFormat="1" applyFont="1" applyFill="1" applyBorder="1"/>
    <xf numFmtId="0" fontId="1" fillId="6" borderId="2" xfId="0" applyFont="1" applyFill="1" applyBorder="1"/>
    <xf numFmtId="1" fontId="0" fillId="0" borderId="0" xfId="0" applyNumberFormat="1"/>
    <xf numFmtId="4" fontId="0" fillId="0" borderId="0" xfId="0" applyNumberFormat="1"/>
    <xf numFmtId="0" fontId="1" fillId="0" borderId="0" xfId="0" applyFont="1"/>
    <xf numFmtId="2" fontId="0" fillId="0" borderId="0" xfId="0" applyNumberFormat="1"/>
    <xf numFmtId="2" fontId="0" fillId="0" borderId="0" xfId="0" applyNumberFormat="1" applyFill="1"/>
    <xf numFmtId="0" fontId="1" fillId="7" borderId="0" xfId="0" applyFont="1" applyFill="1" applyAlignment="1">
      <alignment horizontal="right"/>
    </xf>
    <xf numFmtId="0" fontId="1" fillId="7" borderId="0" xfId="0" applyFont="1" applyFill="1"/>
    <xf numFmtId="0" fontId="2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8"/>
  <sheetViews>
    <sheetView tabSelected="1" topLeftCell="A46" zoomScale="90" zoomScaleNormal="90" workbookViewId="0">
      <selection activeCell="M29" sqref="M29"/>
    </sheetView>
  </sheetViews>
  <sheetFormatPr defaultRowHeight="15" x14ac:dyDescent="0.25"/>
  <cols>
    <col min="1" max="1" width="11" style="1" customWidth="1"/>
    <col min="2" max="2" width="16.5703125" bestFit="1" customWidth="1"/>
    <col min="3" max="4" width="5" bestFit="1" customWidth="1"/>
    <col min="5" max="5" width="8.42578125" customWidth="1"/>
    <col min="6" max="7" width="8.7109375" customWidth="1"/>
    <col min="8" max="8" width="8.7109375" bestFit="1" customWidth="1"/>
    <col min="9" max="9" width="6.140625" customWidth="1"/>
    <col min="10" max="10" width="4" bestFit="1" customWidth="1"/>
    <col min="11" max="11" width="2.7109375" customWidth="1"/>
    <col min="12" max="12" width="9.28515625" bestFit="1" customWidth="1"/>
    <col min="13" max="13" width="10.5703125" bestFit="1" customWidth="1"/>
    <col min="14" max="14" width="2.140625" customWidth="1"/>
    <col min="16" max="16" width="13.85546875" customWidth="1"/>
    <col min="23" max="23" width="28.85546875" bestFit="1" customWidth="1"/>
    <col min="24" max="24" width="28.5703125" bestFit="1" customWidth="1"/>
    <col min="25" max="25" width="2.7109375" customWidth="1"/>
    <col min="26" max="26" width="27.28515625" bestFit="1" customWidth="1"/>
    <col min="27" max="27" width="16" bestFit="1" customWidth="1"/>
  </cols>
  <sheetData>
    <row r="1" spans="1:27" x14ac:dyDescent="0.25">
      <c r="O1" s="2"/>
      <c r="P1" s="2"/>
      <c r="Q1" s="3"/>
      <c r="R1" s="3"/>
      <c r="S1" s="3"/>
      <c r="T1" s="3"/>
      <c r="U1" s="3"/>
      <c r="V1" s="3"/>
    </row>
    <row r="2" spans="1:27" x14ac:dyDescent="0.25">
      <c r="B2" t="s">
        <v>0</v>
      </c>
      <c r="E2" t="s">
        <v>1</v>
      </c>
      <c r="I2" t="s">
        <v>2</v>
      </c>
      <c r="O2" s="2" t="s">
        <v>3</v>
      </c>
      <c r="P2" s="2"/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t="s">
        <v>10</v>
      </c>
      <c r="Z2" t="s">
        <v>11</v>
      </c>
    </row>
    <row r="3" spans="1:27" x14ac:dyDescent="0.25">
      <c r="H3" t="s">
        <v>12</v>
      </c>
      <c r="L3" t="s">
        <v>13</v>
      </c>
      <c r="M3" t="s">
        <v>14</v>
      </c>
      <c r="O3" s="2" t="s">
        <v>15</v>
      </c>
      <c r="P3" s="2" t="s">
        <v>16</v>
      </c>
      <c r="Q3" s="3"/>
      <c r="R3" s="3"/>
      <c r="S3" s="3"/>
      <c r="T3" s="3"/>
      <c r="U3" s="3"/>
      <c r="V3" s="3"/>
      <c r="W3" t="s">
        <v>17</v>
      </c>
      <c r="X3" t="s">
        <v>18</v>
      </c>
      <c r="Z3" t="s">
        <v>17</v>
      </c>
      <c r="AA3" t="s">
        <v>18</v>
      </c>
    </row>
    <row r="4" spans="1:27" x14ac:dyDescent="0.25">
      <c r="O4" s="4"/>
      <c r="P4" s="4"/>
      <c r="Q4" s="3"/>
      <c r="R4" s="3"/>
      <c r="S4" s="3"/>
      <c r="T4" s="3"/>
      <c r="U4" s="3"/>
      <c r="V4" s="3"/>
      <c r="W4" t="s">
        <v>69</v>
      </c>
      <c r="X4" t="s">
        <v>100</v>
      </c>
      <c r="Z4" t="s">
        <v>72</v>
      </c>
      <c r="AA4" t="s">
        <v>73</v>
      </c>
    </row>
    <row r="5" spans="1:27" x14ac:dyDescent="0.25">
      <c r="A5" s="5">
        <v>1</v>
      </c>
      <c r="B5" s="6" t="s">
        <v>19</v>
      </c>
      <c r="C5" s="6">
        <v>14</v>
      </c>
      <c r="D5" s="6">
        <v>4</v>
      </c>
      <c r="E5" s="6"/>
      <c r="F5" s="6">
        <f t="shared" ref="F5" si="0">C5-D5</f>
        <v>10</v>
      </c>
      <c r="G5" s="6"/>
      <c r="H5" s="7" t="s">
        <v>23</v>
      </c>
      <c r="I5" s="6">
        <v>5</v>
      </c>
      <c r="J5" s="6">
        <v>2</v>
      </c>
      <c r="K5" s="6"/>
      <c r="L5" s="7">
        <f>-2+0+2-1+1+1+0</f>
        <v>1</v>
      </c>
      <c r="M5" s="7">
        <f>0+2+1+0-1+0+1+1+0+0+1-2+0+2-1+1+1+0</f>
        <v>6</v>
      </c>
      <c r="O5" s="4">
        <f>(74+74+70+76+77+78+81)/7</f>
        <v>75.714285714285708</v>
      </c>
      <c r="P5" s="4">
        <f>(72+72+68+70+76+76+79)/7</f>
        <v>73.285714285714292</v>
      </c>
      <c r="Q5" s="3">
        <f>3+1+3+1+1+1</f>
        <v>10</v>
      </c>
      <c r="R5" s="3">
        <f>1+1+1</f>
        <v>3</v>
      </c>
      <c r="S5" s="3">
        <f>1</f>
        <v>1</v>
      </c>
      <c r="T5" s="3">
        <f>1+1</f>
        <v>2</v>
      </c>
      <c r="U5" s="3">
        <f>-2.25-2.25-2.25+2.75+0.25+4.25+3.75</f>
        <v>4.25</v>
      </c>
      <c r="V5" s="3">
        <f>2+1+2+2</f>
        <v>7</v>
      </c>
      <c r="W5" t="s">
        <v>89</v>
      </c>
      <c r="X5" t="s">
        <v>84</v>
      </c>
    </row>
    <row r="6" spans="1:27" x14ac:dyDescent="0.25">
      <c r="A6" s="5" t="s">
        <v>104</v>
      </c>
      <c r="B6" s="6" t="s">
        <v>25</v>
      </c>
      <c r="C6" s="6">
        <v>4</v>
      </c>
      <c r="D6" s="6">
        <v>1</v>
      </c>
      <c r="E6" s="6"/>
      <c r="F6" s="6">
        <f t="shared" ref="F6:F15" si="1">C6-D6</f>
        <v>3</v>
      </c>
      <c r="G6" s="6"/>
      <c r="H6" s="7" t="s">
        <v>23</v>
      </c>
      <c r="I6" s="6">
        <v>2</v>
      </c>
      <c r="J6" s="6">
        <v>0</v>
      </c>
      <c r="K6" s="6"/>
      <c r="L6" s="6">
        <f>2+1</f>
        <v>3</v>
      </c>
      <c r="M6" s="6">
        <f>0-2+2+2+1</f>
        <v>3</v>
      </c>
      <c r="O6" s="4">
        <f>(68+69)/2</f>
        <v>68.5</v>
      </c>
      <c r="P6" s="4">
        <f>(68+69)/2</f>
        <v>68.5</v>
      </c>
      <c r="Q6" s="3">
        <f>6+4</f>
        <v>10</v>
      </c>
      <c r="R6" s="3"/>
      <c r="S6" s="3"/>
      <c r="T6" s="3"/>
      <c r="U6" s="3">
        <f>-2.5-2.75</f>
        <v>-5.25</v>
      </c>
      <c r="V6" s="3">
        <f>1</f>
        <v>1</v>
      </c>
      <c r="W6" t="s">
        <v>95</v>
      </c>
      <c r="X6" t="s">
        <v>68</v>
      </c>
    </row>
    <row r="7" spans="1:27" x14ac:dyDescent="0.25">
      <c r="A7" s="5" t="s">
        <v>104</v>
      </c>
      <c r="B7" s="6" t="s">
        <v>20</v>
      </c>
      <c r="C7" s="6">
        <v>7</v>
      </c>
      <c r="D7" s="6">
        <v>4</v>
      </c>
      <c r="E7" s="6"/>
      <c r="F7" s="6">
        <f>C7-D7</f>
        <v>3</v>
      </c>
      <c r="G7" s="6"/>
      <c r="H7" s="7" t="s">
        <v>26</v>
      </c>
      <c r="I7" s="6">
        <v>1</v>
      </c>
      <c r="J7" s="6">
        <v>3</v>
      </c>
      <c r="K7" s="6"/>
      <c r="L7" s="7">
        <f>-2-2-0+2</f>
        <v>-2</v>
      </c>
      <c r="M7" s="7">
        <f>0+2+1+0-1+2+0-2-2-0+2</f>
        <v>2</v>
      </c>
      <c r="O7" s="4">
        <f>(82+83+78+79)/4</f>
        <v>80.5</v>
      </c>
      <c r="P7" s="4">
        <f>(78+79+74+75)/4</f>
        <v>76.5</v>
      </c>
      <c r="Q7" s="3">
        <f>2</f>
        <v>2</v>
      </c>
      <c r="R7" s="3"/>
      <c r="S7" s="3"/>
      <c r="T7" s="3"/>
      <c r="U7" s="3">
        <f>3.75+5.5+3.25+1.5</f>
        <v>14</v>
      </c>
      <c r="V7" s="3">
        <f>3+2+1+1</f>
        <v>7</v>
      </c>
      <c r="X7" t="s">
        <v>82</v>
      </c>
    </row>
    <row r="8" spans="1:27" x14ac:dyDescent="0.25">
      <c r="A8" s="8">
        <v>4</v>
      </c>
      <c r="B8" s="9" t="s">
        <v>22</v>
      </c>
      <c r="C8" s="9">
        <v>6</v>
      </c>
      <c r="D8" s="9">
        <v>4</v>
      </c>
      <c r="E8" s="9"/>
      <c r="F8" s="9">
        <f t="shared" si="1"/>
        <v>2</v>
      </c>
      <c r="G8" s="9"/>
      <c r="H8" s="10" t="s">
        <v>30</v>
      </c>
      <c r="I8" s="9">
        <v>2</v>
      </c>
      <c r="J8" s="9">
        <v>2</v>
      </c>
      <c r="K8" s="9"/>
      <c r="L8" s="10">
        <f>2+2-0-1</f>
        <v>3</v>
      </c>
      <c r="M8" s="10">
        <f>0+1-1+2+2+0+2+2-0-1</f>
        <v>7</v>
      </c>
      <c r="O8" s="4">
        <f>(74+75+74+72)/4</f>
        <v>73.75</v>
      </c>
      <c r="P8" s="4">
        <f>(71+72+71+69)/4</f>
        <v>70.75</v>
      </c>
      <c r="Q8" s="3">
        <f>1+3+1+2</f>
        <v>7</v>
      </c>
      <c r="R8" s="3">
        <f>1</f>
        <v>1</v>
      </c>
      <c r="S8" s="3">
        <f>1</f>
        <v>1</v>
      </c>
      <c r="T8" s="3">
        <f>1+1</f>
        <v>2</v>
      </c>
      <c r="U8" s="3">
        <f>0+1.75+0.25-2.75</f>
        <v>-0.75</v>
      </c>
      <c r="V8" s="3">
        <f>1+2+1+1</f>
        <v>5</v>
      </c>
      <c r="X8" t="s">
        <v>84</v>
      </c>
    </row>
    <row r="9" spans="1:27" x14ac:dyDescent="0.25">
      <c r="A9" s="8" t="s">
        <v>105</v>
      </c>
      <c r="B9" s="9" t="s">
        <v>42</v>
      </c>
      <c r="C9" s="9">
        <v>4</v>
      </c>
      <c r="D9" s="9">
        <v>3</v>
      </c>
      <c r="E9" s="9"/>
      <c r="F9" s="9">
        <f t="shared" si="1"/>
        <v>1</v>
      </c>
      <c r="G9" s="9"/>
      <c r="H9" s="10" t="s">
        <v>28</v>
      </c>
      <c r="I9" s="9">
        <v>3</v>
      </c>
      <c r="J9" s="9">
        <v>2</v>
      </c>
      <c r="K9" s="9"/>
      <c r="L9" s="10">
        <f>0+0+1+3-0</f>
        <v>4</v>
      </c>
      <c r="M9" s="10">
        <f>1-2-0+0+1+3-0</f>
        <v>3</v>
      </c>
      <c r="O9" s="4">
        <f>(84+84+81+76+83)/5</f>
        <v>81.599999999999994</v>
      </c>
      <c r="P9" s="4">
        <f>(77+78+74+70+76)/5</f>
        <v>75</v>
      </c>
      <c r="Q9" s="3">
        <f>1+3+1</f>
        <v>5</v>
      </c>
      <c r="R9" s="3">
        <f>1</f>
        <v>1</v>
      </c>
      <c r="S9" s="3">
        <f>1</f>
        <v>1</v>
      </c>
      <c r="T9" s="3"/>
      <c r="U9" s="3">
        <f>6+5.75+0.25+1.25+2.5</f>
        <v>15.75</v>
      </c>
      <c r="V9" s="3">
        <f>4+4+2+1+4</f>
        <v>15</v>
      </c>
      <c r="X9" t="s">
        <v>90</v>
      </c>
    </row>
    <row r="10" spans="1:27" x14ac:dyDescent="0.25">
      <c r="A10" s="8" t="s">
        <v>105</v>
      </c>
      <c r="B10" s="9" t="s">
        <v>24</v>
      </c>
      <c r="C10" s="9">
        <v>3</v>
      </c>
      <c r="D10" s="9">
        <v>2</v>
      </c>
      <c r="E10" s="9">
        <v>1</v>
      </c>
      <c r="F10" s="9">
        <f t="shared" si="1"/>
        <v>1</v>
      </c>
      <c r="G10" s="9"/>
      <c r="H10" s="10" t="s">
        <v>30</v>
      </c>
      <c r="I10" s="9">
        <v>1</v>
      </c>
      <c r="J10" s="9">
        <v>2</v>
      </c>
      <c r="K10" s="9"/>
      <c r="L10" s="10">
        <f>1-1-0</f>
        <v>0</v>
      </c>
      <c r="M10" s="9">
        <f>-1+0+2+1-1-0</f>
        <v>1</v>
      </c>
      <c r="O10" s="4">
        <f>(72+80+79)/3</f>
        <v>77</v>
      </c>
      <c r="P10" s="4">
        <f>(67+76+74)/3</f>
        <v>72.333333333333329</v>
      </c>
      <c r="Q10" s="3">
        <f>2+1</f>
        <v>3</v>
      </c>
      <c r="R10" s="3"/>
      <c r="S10" s="3"/>
      <c r="T10" s="3"/>
      <c r="U10" s="3">
        <f>-3.75+4.25+0.5</f>
        <v>1</v>
      </c>
      <c r="V10" s="3">
        <f>2+3</f>
        <v>5</v>
      </c>
      <c r="X10" t="s">
        <v>88</v>
      </c>
    </row>
    <row r="11" spans="1:27" x14ac:dyDescent="0.25">
      <c r="A11" s="8" t="s">
        <v>105</v>
      </c>
      <c r="B11" s="9" t="s">
        <v>47</v>
      </c>
      <c r="C11" s="9">
        <v>2</v>
      </c>
      <c r="D11" s="9">
        <v>1</v>
      </c>
      <c r="E11" s="9">
        <v>1</v>
      </c>
      <c r="F11" s="9">
        <f>C11-D11</f>
        <v>1</v>
      </c>
      <c r="G11" s="9"/>
      <c r="H11" s="10" t="s">
        <v>26</v>
      </c>
      <c r="I11" s="9">
        <v>2</v>
      </c>
      <c r="J11" s="9">
        <v>1</v>
      </c>
      <c r="K11" s="9"/>
      <c r="L11" s="10">
        <f>0-3+1</f>
        <v>-2</v>
      </c>
      <c r="M11" s="10">
        <f>-1+0-3+1</f>
        <v>-3</v>
      </c>
      <c r="O11" s="4">
        <f>(83+90+76)/3</f>
        <v>83</v>
      </c>
      <c r="P11" s="4">
        <f>(76+83+68)/3</f>
        <v>75.666666666666671</v>
      </c>
      <c r="Q11" s="3">
        <f>1</f>
        <v>1</v>
      </c>
      <c r="R11" s="3"/>
      <c r="S11" s="3">
        <f>1</f>
        <v>1</v>
      </c>
      <c r="T11" s="3"/>
      <c r="U11" s="3">
        <f>1.75+8-3.75</f>
        <v>6</v>
      </c>
      <c r="V11" s="3">
        <f>2+8+1</f>
        <v>11</v>
      </c>
      <c r="X11" t="s">
        <v>91</v>
      </c>
    </row>
    <row r="12" spans="1:27" x14ac:dyDescent="0.25">
      <c r="A12" s="29" t="s">
        <v>106</v>
      </c>
      <c r="B12" s="30" t="s">
        <v>36</v>
      </c>
      <c r="C12" s="30">
        <v>6</v>
      </c>
      <c r="D12" s="30">
        <v>6</v>
      </c>
      <c r="E12" s="30"/>
      <c r="F12" s="30">
        <f>C12-D12</f>
        <v>0</v>
      </c>
      <c r="G12" s="30"/>
      <c r="H12" s="31" t="s">
        <v>23</v>
      </c>
      <c r="I12" s="30">
        <v>5</v>
      </c>
      <c r="J12" s="30">
        <v>1</v>
      </c>
      <c r="K12" s="30"/>
      <c r="L12" s="30">
        <f>0+2-1+1+1+3</f>
        <v>6</v>
      </c>
      <c r="M12" s="30">
        <f>-2-1+1-0-1-0+0+2-1+1+1+3</f>
        <v>3</v>
      </c>
      <c r="O12" s="4">
        <f>(86+83+77+79+80+71)/6</f>
        <v>79.333333333333329</v>
      </c>
      <c r="P12" s="4">
        <f>(77+74+68+71+73+64)/6</f>
        <v>71.166666666666671</v>
      </c>
      <c r="Q12" s="3">
        <f>1+1+2+3</f>
        <v>7</v>
      </c>
      <c r="R12" s="3">
        <f>1</f>
        <v>1</v>
      </c>
      <c r="S12" s="3">
        <f>1+2</f>
        <v>3</v>
      </c>
      <c r="T12" s="3">
        <f>1</f>
        <v>1</v>
      </c>
      <c r="U12" s="3">
        <f>2-1.5-2.75-2.75+0-4.75</f>
        <v>-9.75</v>
      </c>
      <c r="V12" s="3">
        <f>6+4+2+3+3</f>
        <v>18</v>
      </c>
      <c r="X12" t="s">
        <v>92</v>
      </c>
    </row>
    <row r="13" spans="1:27" x14ac:dyDescent="0.25">
      <c r="A13" s="29" t="s">
        <v>106</v>
      </c>
      <c r="B13" s="30" t="s">
        <v>29</v>
      </c>
      <c r="C13" s="30">
        <v>5</v>
      </c>
      <c r="D13" s="30">
        <v>5</v>
      </c>
      <c r="E13" s="30"/>
      <c r="F13" s="30">
        <f>C13-D13</f>
        <v>0</v>
      </c>
      <c r="G13" s="30"/>
      <c r="H13" s="31" t="s">
        <v>28</v>
      </c>
      <c r="I13" s="30">
        <v>2</v>
      </c>
      <c r="J13" s="30">
        <v>2</v>
      </c>
      <c r="K13" s="30"/>
      <c r="L13" s="30">
        <f>0-1-1-1</f>
        <v>-3</v>
      </c>
      <c r="M13" s="30">
        <f>1-0+2+1-2-0-0-1-1-1</f>
        <v>-1</v>
      </c>
      <c r="O13" s="4">
        <f>(72+76+72+75)/4</f>
        <v>73.75</v>
      </c>
      <c r="P13" s="4">
        <f>(72+76+72+75)/4</f>
        <v>73.75</v>
      </c>
      <c r="Q13" s="3">
        <f>1+2+2+1</f>
        <v>6</v>
      </c>
      <c r="R13" s="3">
        <f>1+1</f>
        <v>2</v>
      </c>
      <c r="S13" s="3">
        <f>1</f>
        <v>1</v>
      </c>
      <c r="T13" s="3"/>
      <c r="U13" s="3">
        <f>1.5+2.5+0-0.75</f>
        <v>3.25</v>
      </c>
      <c r="V13" s="3">
        <f>1+1</f>
        <v>2</v>
      </c>
      <c r="X13" t="s">
        <v>69</v>
      </c>
    </row>
    <row r="14" spans="1:27" x14ac:dyDescent="0.25">
      <c r="A14" s="29" t="s">
        <v>107</v>
      </c>
      <c r="B14" s="30" t="s">
        <v>34</v>
      </c>
      <c r="C14" s="30">
        <v>2</v>
      </c>
      <c r="D14" s="30">
        <v>3</v>
      </c>
      <c r="E14" s="30"/>
      <c r="F14" s="30">
        <f>C14-D14</f>
        <v>-1</v>
      </c>
      <c r="G14" s="30"/>
      <c r="H14" s="31" t="s">
        <v>28</v>
      </c>
      <c r="I14" s="30">
        <v>1</v>
      </c>
      <c r="J14" s="30">
        <v>1</v>
      </c>
      <c r="K14" s="30"/>
      <c r="L14" s="31">
        <f>2+1</f>
        <v>3</v>
      </c>
      <c r="M14" s="31">
        <f>2-0-0+2+1</f>
        <v>5</v>
      </c>
      <c r="O14" s="4">
        <f>(74+73)/2</f>
        <v>73.5</v>
      </c>
      <c r="P14" s="4">
        <f>(66+66)/2</f>
        <v>66</v>
      </c>
      <c r="Q14" s="3">
        <f>5+5</f>
        <v>10</v>
      </c>
      <c r="R14" s="3">
        <f>1+1</f>
        <v>2</v>
      </c>
      <c r="S14" s="3">
        <f>1</f>
        <v>1</v>
      </c>
      <c r="T14" s="3"/>
      <c r="U14" s="3">
        <f>-6.25-2.75</f>
        <v>-9</v>
      </c>
      <c r="V14" s="3">
        <f>3+3</f>
        <v>6</v>
      </c>
      <c r="X14" t="s">
        <v>77</v>
      </c>
    </row>
    <row r="15" spans="1:27" x14ac:dyDescent="0.25">
      <c r="A15" s="11" t="s">
        <v>107</v>
      </c>
      <c r="B15" s="12" t="s">
        <v>32</v>
      </c>
      <c r="C15" s="12">
        <v>3</v>
      </c>
      <c r="D15" s="12">
        <v>4</v>
      </c>
      <c r="E15" s="12"/>
      <c r="F15" s="12">
        <f t="shared" si="1"/>
        <v>-1</v>
      </c>
      <c r="G15" s="12"/>
      <c r="H15" s="13" t="s">
        <v>28</v>
      </c>
      <c r="I15" s="12">
        <v>1</v>
      </c>
      <c r="J15" s="12">
        <v>2</v>
      </c>
      <c r="K15" s="12"/>
      <c r="L15" s="13">
        <f>0+2-1</f>
        <v>1</v>
      </c>
      <c r="M15" s="13">
        <f>0+2+2-2-0+2-1</f>
        <v>3</v>
      </c>
      <c r="O15" s="4">
        <f>(71+68+77)/3</f>
        <v>72</v>
      </c>
      <c r="P15" s="4">
        <f>(69+66+77)/3</f>
        <v>70.666666666666671</v>
      </c>
      <c r="Q15" s="3">
        <f>4+3+1</f>
        <v>8</v>
      </c>
      <c r="R15" s="3">
        <f>1</f>
        <v>1</v>
      </c>
      <c r="S15" s="3">
        <f>1</f>
        <v>1</v>
      </c>
      <c r="T15" s="3"/>
      <c r="U15" s="3">
        <f>-1.25-4.75+1.25</f>
        <v>-4.75</v>
      </c>
      <c r="V15" s="3">
        <f>2+1</f>
        <v>3</v>
      </c>
      <c r="X15" t="s">
        <v>101</v>
      </c>
    </row>
    <row r="16" spans="1:27" x14ac:dyDescent="0.25">
      <c r="A16" s="11" t="s">
        <v>107</v>
      </c>
      <c r="B16" s="12" t="s">
        <v>38</v>
      </c>
      <c r="C16" s="12">
        <v>6</v>
      </c>
      <c r="D16" s="12">
        <v>7</v>
      </c>
      <c r="E16" s="12">
        <v>1</v>
      </c>
      <c r="F16" s="12">
        <f>C16-D16</f>
        <v>-1</v>
      </c>
      <c r="G16" s="12"/>
      <c r="H16" s="13" t="s">
        <v>26</v>
      </c>
      <c r="I16" s="12">
        <v>4</v>
      </c>
      <c r="J16" s="12">
        <v>1</v>
      </c>
      <c r="K16" s="12"/>
      <c r="L16" s="13">
        <f>2+0+2-1+2</f>
        <v>5</v>
      </c>
      <c r="M16" s="13">
        <f>0-1-0-1+1-2-1+2-2+2+0+2-1+2</f>
        <v>1</v>
      </c>
      <c r="O16" s="4">
        <f>(77+77+82+79+75)/5</f>
        <v>78</v>
      </c>
      <c r="P16" s="4">
        <f>(70+71+76+73+69)/5</f>
        <v>71.8</v>
      </c>
      <c r="Q16" s="3">
        <f>2+3+2</f>
        <v>7</v>
      </c>
      <c r="R16" s="3">
        <f>1</f>
        <v>1</v>
      </c>
      <c r="S16" s="3">
        <f>1+1+2</f>
        <v>4</v>
      </c>
      <c r="T16" s="3"/>
      <c r="U16" s="3">
        <f>-1-4+0.5+2.25-4.5</f>
        <v>-6.75</v>
      </c>
      <c r="V16" s="3">
        <f>1+3+2+3+1</f>
        <v>10</v>
      </c>
      <c r="X16" t="s">
        <v>102</v>
      </c>
    </row>
    <row r="17" spans="1:24" x14ac:dyDescent="0.25">
      <c r="A17" s="11" t="s">
        <v>107</v>
      </c>
      <c r="B17" s="12" t="s">
        <v>31</v>
      </c>
      <c r="C17" s="12">
        <v>5</v>
      </c>
      <c r="D17" s="12">
        <v>6</v>
      </c>
      <c r="E17" s="12"/>
      <c r="F17" s="12">
        <f>C17-D17</f>
        <v>-1</v>
      </c>
      <c r="G17" s="12"/>
      <c r="H17" s="12" t="s">
        <v>26</v>
      </c>
      <c r="I17" s="12">
        <v>2</v>
      </c>
      <c r="J17" s="12">
        <v>3</v>
      </c>
      <c r="K17" s="12"/>
      <c r="L17" s="12">
        <f>0-0+1-1+0</f>
        <v>0</v>
      </c>
      <c r="M17" s="12">
        <f>2-1+0+1-2-2-0-0+1-1+0</f>
        <v>-2</v>
      </c>
      <c r="O17" s="4">
        <f>(71+76+79+77+75)/5</f>
        <v>75.599999999999994</v>
      </c>
      <c r="P17" s="4">
        <f>(66+72+75+73+71)/5</f>
        <v>71.400000000000006</v>
      </c>
      <c r="Q17" s="3">
        <f>2+4+1+3</f>
        <v>10</v>
      </c>
      <c r="R17" s="3">
        <f>1+1</f>
        <v>2</v>
      </c>
      <c r="S17" s="3">
        <f>1</f>
        <v>1</v>
      </c>
      <c r="T17" s="3">
        <f>1</f>
        <v>1</v>
      </c>
      <c r="U17" s="3">
        <f>-5+1.75+4.25-4.25</f>
        <v>-3.25</v>
      </c>
      <c r="V17" s="3">
        <f>2+1+1+0+2</f>
        <v>6</v>
      </c>
      <c r="X17" t="s">
        <v>70</v>
      </c>
    </row>
    <row r="18" spans="1:24" x14ac:dyDescent="0.25">
      <c r="A18" s="11" t="s">
        <v>108</v>
      </c>
      <c r="B18" s="12" t="s">
        <v>27</v>
      </c>
      <c r="C18" s="12">
        <v>4</v>
      </c>
      <c r="D18" s="12">
        <v>6</v>
      </c>
      <c r="E18" s="12"/>
      <c r="F18" s="12">
        <f>C18-D18</f>
        <v>-2</v>
      </c>
      <c r="G18" s="12"/>
      <c r="H18" s="13" t="s">
        <v>37</v>
      </c>
      <c r="I18" s="12">
        <v>1</v>
      </c>
      <c r="J18" s="12">
        <v>3</v>
      </c>
      <c r="K18" s="12"/>
      <c r="L18" s="12">
        <f>0-0-2-3</f>
        <v>-5</v>
      </c>
      <c r="M18" s="12">
        <f>0+1-0-0+2-0+0-0-2-3</f>
        <v>-2</v>
      </c>
      <c r="O18" s="4">
        <f>(76+82+83+81)/4</f>
        <v>80.5</v>
      </c>
      <c r="P18" s="4">
        <f>(71+77+78+75)/4</f>
        <v>75.25</v>
      </c>
      <c r="Q18" s="3">
        <f>2+1+1</f>
        <v>4</v>
      </c>
      <c r="R18" s="3">
        <f>1</f>
        <v>1</v>
      </c>
      <c r="S18" s="3">
        <f>1+2</f>
        <v>3</v>
      </c>
      <c r="T18" s="3">
        <f>1</f>
        <v>1</v>
      </c>
      <c r="U18" s="3">
        <f>-3.25+1.5+3.75+3</f>
        <v>5</v>
      </c>
      <c r="V18" s="3">
        <f>2+4+4+2</f>
        <v>12</v>
      </c>
      <c r="X18" t="s">
        <v>103</v>
      </c>
    </row>
    <row r="19" spans="1:24" x14ac:dyDescent="0.25">
      <c r="A19" s="11" t="s">
        <v>108</v>
      </c>
      <c r="B19" s="12" t="s">
        <v>51</v>
      </c>
      <c r="C19" s="12">
        <v>1</v>
      </c>
      <c r="D19" s="12">
        <v>3</v>
      </c>
      <c r="E19" s="12"/>
      <c r="F19" s="12">
        <f>C19-D19</f>
        <v>-2</v>
      </c>
      <c r="G19" s="12"/>
      <c r="H19" s="13" t="s">
        <v>28</v>
      </c>
      <c r="I19" s="12">
        <v>1</v>
      </c>
      <c r="J19" s="12">
        <v>2</v>
      </c>
      <c r="K19" s="12"/>
      <c r="L19" s="12">
        <f>-1+1-2</f>
        <v>-2</v>
      </c>
      <c r="M19" s="12">
        <f>-2-1+1-2</f>
        <v>-4</v>
      </c>
      <c r="O19" s="4">
        <f>(74+74+79)/3</f>
        <v>75.666666666666671</v>
      </c>
      <c r="P19" s="4">
        <f>(69+69+75)/3</f>
        <v>71</v>
      </c>
      <c r="Q19" s="3">
        <f>1+4+2</f>
        <v>7</v>
      </c>
      <c r="R19" s="3"/>
      <c r="S19" s="3">
        <f>1</f>
        <v>1</v>
      </c>
      <c r="T19" s="3"/>
      <c r="U19" s="3">
        <f>-6-4-0.25</f>
        <v>-10.25</v>
      </c>
      <c r="V19" s="3">
        <f>1+2+1</f>
        <v>4</v>
      </c>
      <c r="X19" t="s">
        <v>71</v>
      </c>
    </row>
    <row r="20" spans="1:24" x14ac:dyDescent="0.25">
      <c r="A20" s="11" t="s">
        <v>108</v>
      </c>
      <c r="B20" s="12" t="s">
        <v>33</v>
      </c>
      <c r="C20" s="12">
        <v>5</v>
      </c>
      <c r="D20" s="12">
        <v>7</v>
      </c>
      <c r="E20" s="12">
        <v>1</v>
      </c>
      <c r="F20" s="12">
        <f t="shared" ref="F20" si="2">C20-D20</f>
        <v>-2</v>
      </c>
      <c r="G20" s="12"/>
      <c r="H20" s="13" t="s">
        <v>26</v>
      </c>
      <c r="I20" s="12">
        <v>1</v>
      </c>
      <c r="J20" s="12">
        <v>3</v>
      </c>
      <c r="K20" s="12"/>
      <c r="L20" s="13">
        <f>-2-2-3+1</f>
        <v>-6</v>
      </c>
      <c r="M20" s="13">
        <f>0-1-2+1-2-2-0+2+0-2-2-3+1</f>
        <v>-10</v>
      </c>
      <c r="O20" s="4">
        <f>(73+73+70+75)/4</f>
        <v>72.75</v>
      </c>
      <c r="P20" s="4">
        <f>(73+73+70+75)/4</f>
        <v>72.75</v>
      </c>
      <c r="Q20" s="3">
        <f>3+3+3+1</f>
        <v>10</v>
      </c>
      <c r="R20" s="3"/>
      <c r="S20" s="3"/>
      <c r="T20" s="3"/>
      <c r="U20" s="3">
        <f>-1.25-0.5-2-0.75</f>
        <v>-4.5</v>
      </c>
      <c r="V20" s="3">
        <f>2</f>
        <v>2</v>
      </c>
      <c r="X20" t="s">
        <v>78</v>
      </c>
    </row>
    <row r="21" spans="1:24" x14ac:dyDescent="0.25">
      <c r="A21" s="1">
        <v>17</v>
      </c>
      <c r="B21" s="12" t="s">
        <v>39</v>
      </c>
      <c r="C21" s="12">
        <v>2</v>
      </c>
      <c r="D21" s="12">
        <v>5</v>
      </c>
      <c r="E21" s="12"/>
      <c r="F21" s="12">
        <f>C21-D21</f>
        <v>-3</v>
      </c>
      <c r="G21" s="12"/>
      <c r="H21" s="13" t="s">
        <v>28</v>
      </c>
      <c r="I21" s="12">
        <v>2</v>
      </c>
      <c r="J21" s="12">
        <v>1</v>
      </c>
      <c r="K21" s="12"/>
      <c r="L21" s="12">
        <f>2+1-1</f>
        <v>2</v>
      </c>
      <c r="M21" s="12">
        <f>-1-1-1-1+2+1-1</f>
        <v>-2</v>
      </c>
      <c r="O21" s="4">
        <f>(84+85+80)/3</f>
        <v>83</v>
      </c>
      <c r="P21" s="4">
        <f>(72+73+68)/3</f>
        <v>71</v>
      </c>
      <c r="Q21" s="3">
        <f>1</f>
        <v>1</v>
      </c>
      <c r="R21" s="3"/>
      <c r="S21" s="3"/>
      <c r="T21" s="3"/>
      <c r="U21" s="3">
        <f>1.25+1.25-3.75</f>
        <v>-1.25</v>
      </c>
      <c r="V21" s="3">
        <f>2+3</f>
        <v>5</v>
      </c>
      <c r="X21" t="s">
        <v>94</v>
      </c>
    </row>
    <row r="22" spans="1:24" x14ac:dyDescent="0.25">
      <c r="A22" s="11">
        <v>18</v>
      </c>
      <c r="B22" s="12" t="s">
        <v>35</v>
      </c>
      <c r="C22" s="12">
        <v>3</v>
      </c>
      <c r="D22" s="12">
        <v>7</v>
      </c>
      <c r="E22" s="12"/>
      <c r="F22" s="12">
        <f>C22-D22</f>
        <v>-4</v>
      </c>
      <c r="G22" s="12"/>
      <c r="H22" s="13" t="s">
        <v>30</v>
      </c>
      <c r="I22" s="12">
        <v>1</v>
      </c>
      <c r="J22" s="12">
        <v>3</v>
      </c>
      <c r="K22" s="12"/>
      <c r="L22" s="13">
        <f>0+1-1+1</f>
        <v>1</v>
      </c>
      <c r="M22" s="13">
        <f>2-0-1-1+2-1-0+1-1+1</f>
        <v>2</v>
      </c>
      <c r="O22" s="4">
        <f>(75+72+75+80)/4</f>
        <v>75.5</v>
      </c>
      <c r="P22" s="4">
        <f>(69+66+70+75)/4</f>
        <v>70</v>
      </c>
      <c r="Q22" s="3">
        <f>4+3+2+1</f>
        <v>10</v>
      </c>
      <c r="R22" s="3">
        <f>1+1</f>
        <v>2</v>
      </c>
      <c r="S22" s="3"/>
      <c r="T22" s="3"/>
      <c r="U22" s="3">
        <f>-1.5-7.5-2.25+6.25</f>
        <v>-5</v>
      </c>
      <c r="V22" s="3">
        <f>2+1+1+2</f>
        <v>6</v>
      </c>
      <c r="X22" t="s">
        <v>95</v>
      </c>
    </row>
    <row r="23" spans="1:24" x14ac:dyDescent="0.25">
      <c r="X23" t="s">
        <v>96</v>
      </c>
    </row>
    <row r="29" spans="1:24" x14ac:dyDescent="0.25">
      <c r="A29" s="11"/>
    </row>
    <row r="30" spans="1:24" x14ac:dyDescent="0.25">
      <c r="A30" s="11"/>
    </row>
    <row r="32" spans="1:24" x14ac:dyDescent="0.25">
      <c r="I32" s="12"/>
      <c r="J32" s="12"/>
      <c r="K32" s="12"/>
      <c r="L32" s="12"/>
      <c r="M32" s="12"/>
      <c r="O32" s="4"/>
      <c r="P32" s="4"/>
      <c r="Q32" s="3"/>
      <c r="R32" s="3"/>
      <c r="S32" s="3"/>
      <c r="T32" s="3"/>
      <c r="U32" s="3"/>
      <c r="V32" s="3"/>
    </row>
    <row r="33" spans="1:22" x14ac:dyDescent="0.25">
      <c r="A33" s="11"/>
      <c r="I33" s="12"/>
      <c r="J33" s="12"/>
      <c r="K33" s="12"/>
      <c r="L33" s="13"/>
      <c r="M33" s="13"/>
      <c r="O33" s="4"/>
      <c r="P33" s="4"/>
      <c r="Q33" s="3"/>
      <c r="R33" s="3"/>
      <c r="S33" s="3"/>
      <c r="T33" s="3"/>
      <c r="U33" s="3"/>
      <c r="V33" s="3"/>
    </row>
    <row r="34" spans="1:22" x14ac:dyDescent="0.25">
      <c r="I34" s="12"/>
      <c r="J34" s="12"/>
      <c r="K34" s="12"/>
      <c r="L34" s="13"/>
      <c r="M34" s="13"/>
      <c r="O34" s="4"/>
      <c r="P34" s="4"/>
      <c r="Q34" s="3"/>
      <c r="R34" s="3"/>
      <c r="S34" s="3"/>
      <c r="T34" s="3"/>
      <c r="U34" s="3"/>
      <c r="V34" s="3"/>
    </row>
    <row r="35" spans="1:22" x14ac:dyDescent="0.25">
      <c r="I35" s="12"/>
      <c r="J35" s="12"/>
      <c r="K35" s="12"/>
      <c r="L35" s="12"/>
      <c r="M35" s="12"/>
      <c r="O35" s="4"/>
      <c r="P35" s="4"/>
      <c r="Q35" s="3"/>
      <c r="R35" s="3"/>
      <c r="S35" s="3"/>
      <c r="T35" s="3"/>
      <c r="U35" s="3"/>
      <c r="V35" s="3"/>
    </row>
    <row r="36" spans="1:22" x14ac:dyDescent="0.25">
      <c r="A36" s="11"/>
      <c r="I36" s="12"/>
      <c r="J36" s="12"/>
      <c r="K36" s="14"/>
      <c r="L36" s="13"/>
      <c r="M36" s="13"/>
      <c r="O36" s="4"/>
      <c r="P36" s="4"/>
      <c r="Q36" s="3"/>
      <c r="R36" s="3"/>
      <c r="S36" s="3"/>
      <c r="T36" s="3"/>
      <c r="U36" s="3"/>
      <c r="V36" s="3"/>
    </row>
    <row r="38" spans="1:22" x14ac:dyDescent="0.25">
      <c r="O38" s="4"/>
      <c r="P38" s="4"/>
      <c r="Q38" s="3"/>
      <c r="R38" s="3"/>
      <c r="S38" s="3"/>
      <c r="T38" s="3"/>
      <c r="U38" s="3"/>
      <c r="V38" s="3"/>
    </row>
    <row r="39" spans="1:22" x14ac:dyDescent="0.25">
      <c r="O39" s="4"/>
      <c r="P39" s="4"/>
      <c r="Q39" s="3"/>
      <c r="R39" s="3"/>
      <c r="S39" s="3"/>
      <c r="T39" s="3"/>
      <c r="U39" s="3"/>
      <c r="V39" s="3"/>
    </row>
    <row r="40" spans="1:22" x14ac:dyDescent="0.25">
      <c r="O40" s="4"/>
      <c r="P40" s="4"/>
      <c r="Q40" s="3"/>
      <c r="R40" s="3"/>
      <c r="S40" s="3"/>
      <c r="T40" s="3"/>
      <c r="U40" s="3"/>
      <c r="V40" s="3"/>
    </row>
    <row r="41" spans="1:22" x14ac:dyDescent="0.25">
      <c r="A41" s="15" t="s">
        <v>40</v>
      </c>
      <c r="B41" s="16"/>
      <c r="C41" s="16"/>
      <c r="D41" s="16"/>
      <c r="E41" s="16"/>
      <c r="F41" s="16"/>
      <c r="G41" s="16"/>
      <c r="H41" s="17"/>
      <c r="I41" s="16"/>
      <c r="J41" s="16"/>
      <c r="K41" s="16"/>
      <c r="L41" s="17"/>
      <c r="M41" s="17"/>
      <c r="O41" s="4"/>
      <c r="P41" s="4"/>
      <c r="Q41" s="3"/>
      <c r="R41" s="3"/>
      <c r="S41" s="3"/>
      <c r="T41" s="3"/>
      <c r="U41" s="3"/>
      <c r="V41" s="3"/>
    </row>
    <row r="42" spans="1:22" x14ac:dyDescent="0.25">
      <c r="A42" s="15">
        <f>C42+D42+E42</f>
        <v>3</v>
      </c>
      <c r="B42" s="18" t="s">
        <v>45</v>
      </c>
      <c r="C42" s="18">
        <v>3</v>
      </c>
      <c r="D42" s="18">
        <v>0</v>
      </c>
      <c r="E42" s="16"/>
      <c r="F42" s="18">
        <f>C42-D42</f>
        <v>3</v>
      </c>
      <c r="G42" s="16"/>
      <c r="H42" s="19" t="s">
        <v>97</v>
      </c>
      <c r="I42" s="18">
        <v>2</v>
      </c>
      <c r="J42" s="18">
        <v>0</v>
      </c>
      <c r="K42" s="18"/>
      <c r="L42" s="18">
        <f>2-1</f>
        <v>1</v>
      </c>
      <c r="M42" s="18">
        <f>1+2-1</f>
        <v>2</v>
      </c>
      <c r="O42" s="4">
        <f>(76+73)/2</f>
        <v>74.5</v>
      </c>
      <c r="P42" s="4">
        <f>(73+71)/2</f>
        <v>72</v>
      </c>
      <c r="Q42" s="3">
        <f>1+3</f>
        <v>4</v>
      </c>
      <c r="R42" s="3">
        <f>1</f>
        <v>1</v>
      </c>
      <c r="S42" s="3"/>
      <c r="T42" s="3"/>
      <c r="U42" s="3">
        <f>2.5-1</f>
        <v>1.5</v>
      </c>
      <c r="V42" s="3">
        <f>1+1</f>
        <v>2</v>
      </c>
    </row>
    <row r="43" spans="1:22" x14ac:dyDescent="0.25">
      <c r="A43" s="15">
        <f>C43+D43+E43</f>
        <v>3</v>
      </c>
      <c r="B43" s="18" t="s">
        <v>56</v>
      </c>
      <c r="C43" s="18">
        <v>1</v>
      </c>
      <c r="D43" s="18">
        <v>2</v>
      </c>
      <c r="E43" s="16"/>
      <c r="F43" s="18">
        <f>C43-D43</f>
        <v>-1</v>
      </c>
      <c r="G43" s="18"/>
      <c r="H43" s="19" t="s">
        <v>28</v>
      </c>
      <c r="I43" s="18">
        <v>1</v>
      </c>
      <c r="J43" s="18">
        <v>2</v>
      </c>
      <c r="K43" s="18"/>
      <c r="L43" s="18">
        <f>-2+0-1</f>
        <v>-3</v>
      </c>
      <c r="M43" s="18">
        <f>-2+0-1</f>
        <v>-3</v>
      </c>
      <c r="O43" s="4">
        <f>(85+74+84)/3</f>
        <v>81</v>
      </c>
      <c r="P43" s="4">
        <f>(78+67+78)/3</f>
        <v>74.333333333333329</v>
      </c>
      <c r="Q43" s="3">
        <f>4</f>
        <v>4</v>
      </c>
      <c r="R43" s="3"/>
      <c r="S43" s="3"/>
      <c r="T43" s="3"/>
      <c r="U43" s="3">
        <f>3.75-7.25+4.25</f>
        <v>0.75</v>
      </c>
      <c r="V43" s="3">
        <f>5+2+4</f>
        <v>11</v>
      </c>
    </row>
    <row r="44" spans="1:22" x14ac:dyDescent="0.25">
      <c r="A44" s="15">
        <f>C44+D44+E44</f>
        <v>3</v>
      </c>
      <c r="B44" s="18" t="s">
        <v>49</v>
      </c>
      <c r="C44" s="18">
        <v>1</v>
      </c>
      <c r="D44" s="18">
        <v>2</v>
      </c>
      <c r="E44" s="18"/>
      <c r="F44" s="18">
        <f>C44-D44</f>
        <v>-1</v>
      </c>
      <c r="G44" s="18"/>
      <c r="H44" s="19" t="s">
        <v>28</v>
      </c>
      <c r="I44" s="18">
        <v>1</v>
      </c>
      <c r="J44" s="18">
        <v>1</v>
      </c>
      <c r="K44" s="18"/>
      <c r="L44" s="18">
        <f>0-1</f>
        <v>-1</v>
      </c>
      <c r="M44" s="18">
        <f>-1+0-1</f>
        <v>-2</v>
      </c>
      <c r="O44" s="4">
        <f>(83+85)/2</f>
        <v>84</v>
      </c>
      <c r="P44" s="4">
        <f>(74+75)/2</f>
        <v>74.5</v>
      </c>
      <c r="Q44" s="3">
        <f>1</f>
        <v>1</v>
      </c>
      <c r="R44" s="3"/>
      <c r="S44" s="3"/>
      <c r="T44" s="3"/>
      <c r="U44" s="3">
        <f>-0.25+3.25</f>
        <v>3</v>
      </c>
      <c r="V44" s="3">
        <f>2+3</f>
        <v>5</v>
      </c>
    </row>
    <row r="45" spans="1:22" x14ac:dyDescent="0.25">
      <c r="A45" s="15">
        <f t="shared" ref="A45:A50" si="3">C45+D45+E45</f>
        <v>2</v>
      </c>
      <c r="B45" s="18" t="s">
        <v>41</v>
      </c>
      <c r="C45" s="18">
        <v>2</v>
      </c>
      <c r="D45" s="18">
        <v>0</v>
      </c>
      <c r="E45" s="18"/>
      <c r="F45" s="18">
        <f t="shared" ref="F45" si="4">C45-D45</f>
        <v>2</v>
      </c>
      <c r="G45" s="18"/>
      <c r="H45" s="18" t="s">
        <v>21</v>
      </c>
      <c r="I45" s="18"/>
      <c r="J45" s="18"/>
      <c r="K45" s="18"/>
      <c r="L45" s="18"/>
      <c r="M45" s="18">
        <f>1+0</f>
        <v>1</v>
      </c>
      <c r="O45" s="4"/>
      <c r="P45" s="4"/>
      <c r="Q45" s="3"/>
      <c r="R45" s="3"/>
      <c r="S45" s="3"/>
      <c r="T45" s="3"/>
      <c r="U45" s="3"/>
      <c r="V45" s="3"/>
    </row>
    <row r="46" spans="1:22" x14ac:dyDescent="0.25">
      <c r="A46" s="15">
        <f t="shared" si="3"/>
        <v>2</v>
      </c>
      <c r="B46" s="18" t="s">
        <v>55</v>
      </c>
      <c r="C46" s="18">
        <v>1</v>
      </c>
      <c r="D46" s="18">
        <v>1</v>
      </c>
      <c r="E46" s="18"/>
      <c r="F46" s="18">
        <f>C46-D46</f>
        <v>0</v>
      </c>
      <c r="G46" s="18"/>
      <c r="H46" s="19" t="s">
        <v>28</v>
      </c>
      <c r="I46" s="18">
        <v>1</v>
      </c>
      <c r="J46" s="18">
        <v>1</v>
      </c>
      <c r="K46" s="18"/>
      <c r="L46" s="18">
        <f>0-0</f>
        <v>0</v>
      </c>
      <c r="M46" s="18">
        <f>0-0</f>
        <v>0</v>
      </c>
      <c r="O46" s="4">
        <f>(79+80)/2</f>
        <v>79.5</v>
      </c>
      <c r="P46" s="4">
        <f>(74+75)/2</f>
        <v>74.5</v>
      </c>
      <c r="Q46" s="3">
        <f>1+1</f>
        <v>2</v>
      </c>
      <c r="R46" s="3">
        <f>1+1</f>
        <v>2</v>
      </c>
      <c r="S46" s="3"/>
      <c r="T46" s="3"/>
      <c r="U46" s="3">
        <f>-0.25-0.5</f>
        <v>-0.75</v>
      </c>
      <c r="V46" s="3">
        <f>2+4</f>
        <v>6</v>
      </c>
    </row>
    <row r="47" spans="1:22" x14ac:dyDescent="0.25">
      <c r="A47" s="15">
        <f>C47+D47+E47</f>
        <v>2</v>
      </c>
      <c r="B47" s="18" t="s">
        <v>46</v>
      </c>
      <c r="C47" s="18">
        <v>1</v>
      </c>
      <c r="D47" s="18">
        <v>1</v>
      </c>
      <c r="E47" s="18"/>
      <c r="F47" s="18">
        <f>C47-D47</f>
        <v>0</v>
      </c>
      <c r="G47" s="18"/>
      <c r="H47" s="19" t="s">
        <v>28</v>
      </c>
      <c r="I47" s="18">
        <v>0</v>
      </c>
      <c r="J47" s="18">
        <v>1</v>
      </c>
      <c r="K47" s="18"/>
      <c r="L47" s="18">
        <f>-1</f>
        <v>-1</v>
      </c>
      <c r="M47" s="18">
        <f>0-1</f>
        <v>-1</v>
      </c>
      <c r="O47" s="4">
        <f>81</f>
        <v>81</v>
      </c>
      <c r="P47" s="4">
        <f>77</f>
        <v>77</v>
      </c>
      <c r="Q47" s="3"/>
      <c r="R47" s="3"/>
      <c r="S47" s="3"/>
      <c r="T47" s="3"/>
      <c r="U47" s="3">
        <f>4</f>
        <v>4</v>
      </c>
      <c r="V47" s="3">
        <f>2</f>
        <v>2</v>
      </c>
    </row>
    <row r="48" spans="1:22" x14ac:dyDescent="0.25">
      <c r="A48" s="15">
        <f>C48+D48+E48</f>
        <v>2</v>
      </c>
      <c r="B48" s="18" t="s">
        <v>43</v>
      </c>
      <c r="C48" s="18">
        <v>0</v>
      </c>
      <c r="D48" s="18">
        <v>2</v>
      </c>
      <c r="E48" s="18"/>
      <c r="F48" s="18">
        <f>C48-D48</f>
        <v>-2</v>
      </c>
      <c r="G48" s="18"/>
      <c r="H48" s="18" t="s">
        <v>30</v>
      </c>
      <c r="I48" s="18"/>
      <c r="J48" s="18"/>
      <c r="K48" s="18"/>
      <c r="L48" s="18"/>
      <c r="M48" s="18">
        <f>-2-0</f>
        <v>-2</v>
      </c>
      <c r="O48" s="4"/>
      <c r="P48" s="4"/>
      <c r="Q48" s="3"/>
      <c r="R48" s="3"/>
      <c r="S48" s="3"/>
      <c r="T48" s="3"/>
      <c r="U48" s="3"/>
      <c r="V48" s="3"/>
    </row>
    <row r="49" spans="1:24" x14ac:dyDescent="0.25">
      <c r="A49" s="15">
        <f>C49+D49+E49</f>
        <v>2</v>
      </c>
      <c r="B49" s="18" t="s">
        <v>52</v>
      </c>
      <c r="C49" s="18">
        <v>0</v>
      </c>
      <c r="D49" s="18">
        <v>2</v>
      </c>
      <c r="E49" s="18"/>
      <c r="F49" s="18">
        <f>C49-D49</f>
        <v>-2</v>
      </c>
      <c r="G49" s="18"/>
      <c r="H49" s="19" t="s">
        <v>37</v>
      </c>
      <c r="I49" s="18">
        <v>0</v>
      </c>
      <c r="J49" s="18">
        <v>1</v>
      </c>
      <c r="K49" s="18"/>
      <c r="L49" s="19">
        <f>-2</f>
        <v>-2</v>
      </c>
      <c r="M49" s="18">
        <f>-2-2</f>
        <v>-4</v>
      </c>
      <c r="O49" s="4">
        <f>80</f>
        <v>80</v>
      </c>
      <c r="P49" s="4">
        <f>76</f>
        <v>76</v>
      </c>
      <c r="Q49" s="3"/>
      <c r="R49" s="3"/>
      <c r="S49" s="3">
        <f>1</f>
        <v>1</v>
      </c>
      <c r="T49" s="3"/>
      <c r="U49" s="3">
        <f>0.75</f>
        <v>0.75</v>
      </c>
      <c r="V49" s="3">
        <f>3</f>
        <v>3</v>
      </c>
    </row>
    <row r="50" spans="1:24" x14ac:dyDescent="0.25">
      <c r="A50" s="15">
        <f t="shared" si="3"/>
        <v>1</v>
      </c>
      <c r="B50" s="18" t="s">
        <v>44</v>
      </c>
      <c r="C50" s="18">
        <v>1</v>
      </c>
      <c r="D50" s="18">
        <v>0</v>
      </c>
      <c r="E50" s="16"/>
      <c r="F50" s="18">
        <f>C50-D50</f>
        <v>1</v>
      </c>
      <c r="G50" s="16"/>
      <c r="H50" s="19" t="s">
        <v>26</v>
      </c>
      <c r="I50" s="18"/>
      <c r="J50" s="18"/>
      <c r="K50" s="18"/>
      <c r="L50" s="18"/>
      <c r="M50" s="18">
        <f>2</f>
        <v>2</v>
      </c>
      <c r="O50" s="4"/>
      <c r="P50" s="4"/>
      <c r="Q50" s="3"/>
      <c r="R50" s="3"/>
      <c r="S50" s="3"/>
      <c r="T50" s="3"/>
      <c r="U50" s="3"/>
      <c r="V50" s="3"/>
    </row>
    <row r="51" spans="1:24" x14ac:dyDescent="0.25">
      <c r="A51" s="15">
        <f t="shared" ref="A51:A55" si="5">C51+D51+E51</f>
        <v>1</v>
      </c>
      <c r="B51" s="18" t="s">
        <v>48</v>
      </c>
      <c r="C51" s="18">
        <v>0</v>
      </c>
      <c r="D51" s="18">
        <v>1</v>
      </c>
      <c r="E51" s="18"/>
      <c r="F51" s="18">
        <f t="shared" ref="F51:F55" si="6">C51-D51</f>
        <v>-1</v>
      </c>
      <c r="G51" s="18"/>
      <c r="H51" s="19" t="s">
        <v>28</v>
      </c>
      <c r="I51" s="18"/>
      <c r="J51" s="18"/>
      <c r="K51" s="18"/>
      <c r="L51" s="19"/>
      <c r="M51" s="19">
        <f>0</f>
        <v>0</v>
      </c>
      <c r="O51" s="4"/>
      <c r="P51" s="4"/>
      <c r="Q51" s="3"/>
      <c r="R51" s="3"/>
      <c r="S51" s="3"/>
      <c r="T51" s="3"/>
      <c r="U51" s="3"/>
      <c r="V51" s="3"/>
    </row>
    <row r="52" spans="1:24" x14ac:dyDescent="0.25">
      <c r="A52" s="15">
        <f>C52+D52+E52</f>
        <v>1</v>
      </c>
      <c r="B52" s="18" t="s">
        <v>93</v>
      </c>
      <c r="C52" s="18">
        <v>0</v>
      </c>
      <c r="D52" s="18">
        <v>1</v>
      </c>
      <c r="E52" s="18"/>
      <c r="F52" s="18">
        <f>C52-D52</f>
        <v>-1</v>
      </c>
      <c r="G52" s="18"/>
      <c r="H52" s="19" t="s">
        <v>30</v>
      </c>
      <c r="I52" s="18">
        <v>0</v>
      </c>
      <c r="J52" s="18">
        <v>1</v>
      </c>
      <c r="K52" s="18"/>
      <c r="L52" s="18">
        <f>-1</f>
        <v>-1</v>
      </c>
      <c r="M52" s="18">
        <f>-1</f>
        <v>-1</v>
      </c>
      <c r="O52" s="4">
        <f>70</f>
        <v>70</v>
      </c>
      <c r="P52" s="4">
        <f>72</f>
        <v>72</v>
      </c>
      <c r="Q52" s="3">
        <f>3</f>
        <v>3</v>
      </c>
      <c r="R52" s="3"/>
      <c r="S52" s="3"/>
      <c r="T52" s="3"/>
      <c r="U52" s="3">
        <f>-1.75</f>
        <v>-1.75</v>
      </c>
      <c r="V52" s="3"/>
    </row>
    <row r="53" spans="1:24" x14ac:dyDescent="0.25">
      <c r="A53" s="15">
        <f t="shared" si="5"/>
        <v>1</v>
      </c>
      <c r="B53" s="18" t="s">
        <v>50</v>
      </c>
      <c r="C53" s="18">
        <v>0</v>
      </c>
      <c r="D53" s="18">
        <v>1</v>
      </c>
      <c r="E53" s="18"/>
      <c r="F53" s="18">
        <f t="shared" si="6"/>
        <v>-1</v>
      </c>
      <c r="G53" s="18"/>
      <c r="H53" s="19" t="s">
        <v>28</v>
      </c>
      <c r="I53" s="18"/>
      <c r="J53" s="18"/>
      <c r="K53" s="18"/>
      <c r="L53" s="19"/>
      <c r="M53" s="19">
        <f t="shared" ref="M53" si="7">-2</f>
        <v>-2</v>
      </c>
      <c r="O53" s="4"/>
      <c r="P53" s="4"/>
      <c r="Q53" s="3"/>
      <c r="R53" s="3"/>
      <c r="S53" s="3"/>
      <c r="T53" s="3"/>
      <c r="U53" s="3"/>
      <c r="V53" s="3"/>
    </row>
    <row r="54" spans="1:24" x14ac:dyDescent="0.25">
      <c r="A54" s="15">
        <f t="shared" si="5"/>
        <v>1</v>
      </c>
      <c r="B54" s="18" t="s">
        <v>87</v>
      </c>
      <c r="C54" s="18">
        <v>0</v>
      </c>
      <c r="D54" s="18">
        <v>1</v>
      </c>
      <c r="E54" s="16"/>
      <c r="F54" s="18">
        <f t="shared" si="6"/>
        <v>-1</v>
      </c>
      <c r="G54" s="18"/>
      <c r="H54" s="19" t="s">
        <v>28</v>
      </c>
      <c r="I54" s="18">
        <v>0</v>
      </c>
      <c r="J54" s="18">
        <v>1</v>
      </c>
      <c r="K54" s="18"/>
      <c r="L54" s="18">
        <f>-2</f>
        <v>-2</v>
      </c>
      <c r="M54" s="18">
        <f>-2</f>
        <v>-2</v>
      </c>
      <c r="O54" s="4">
        <f>89</f>
        <v>89</v>
      </c>
      <c r="P54" s="4">
        <f>78</f>
        <v>78</v>
      </c>
      <c r="Q54" s="3">
        <f>1</f>
        <v>1</v>
      </c>
      <c r="R54" s="3"/>
      <c r="S54" s="3">
        <f>2</f>
        <v>2</v>
      </c>
      <c r="T54" s="3"/>
      <c r="U54" s="3">
        <f>3.75</f>
        <v>3.75</v>
      </c>
      <c r="V54" s="3">
        <f>5</f>
        <v>5</v>
      </c>
    </row>
    <row r="55" spans="1:24" ht="15.75" thickBot="1" x14ac:dyDescent="0.3">
      <c r="A55" s="15">
        <f t="shared" si="5"/>
        <v>0</v>
      </c>
      <c r="B55" s="18" t="s">
        <v>57</v>
      </c>
      <c r="C55" s="18"/>
      <c r="D55" s="18"/>
      <c r="E55" s="18"/>
      <c r="F55" s="18">
        <f t="shared" si="6"/>
        <v>0</v>
      </c>
      <c r="G55" s="18"/>
      <c r="H55" s="18" t="s">
        <v>54</v>
      </c>
      <c r="I55" s="18"/>
      <c r="J55" s="18"/>
      <c r="K55" s="18"/>
      <c r="L55" s="18"/>
      <c r="M55" s="18"/>
      <c r="O55" s="4"/>
      <c r="P55" s="4"/>
      <c r="Q55" s="3"/>
      <c r="R55" s="3"/>
      <c r="S55" s="3"/>
      <c r="T55" s="3"/>
      <c r="U55" s="3"/>
      <c r="V55" s="3"/>
    </row>
    <row r="56" spans="1:24" x14ac:dyDescent="0.25">
      <c r="A56" s="15">
        <f>C56+D56+E56</f>
        <v>0</v>
      </c>
      <c r="B56" s="18" t="s">
        <v>53</v>
      </c>
      <c r="C56" s="18"/>
      <c r="D56" s="18"/>
      <c r="E56" s="18"/>
      <c r="F56" s="18">
        <f>C56-D56</f>
        <v>0</v>
      </c>
      <c r="G56" s="18"/>
      <c r="H56" s="19" t="s">
        <v>54</v>
      </c>
      <c r="I56" s="18"/>
      <c r="J56" s="18"/>
      <c r="K56" s="18"/>
      <c r="L56" s="18"/>
      <c r="M56" s="18"/>
      <c r="O56" s="4"/>
      <c r="P56" s="4"/>
      <c r="Q56" s="3"/>
      <c r="R56" s="3"/>
      <c r="S56" s="3"/>
      <c r="T56" s="3"/>
      <c r="U56" s="3"/>
      <c r="V56" s="3"/>
      <c r="W56" s="20" t="s">
        <v>58</v>
      </c>
    </row>
    <row r="57" spans="1:24" x14ac:dyDescent="0.25">
      <c r="W57" s="21" t="s">
        <v>59</v>
      </c>
    </row>
    <row r="58" spans="1:24" ht="15.75" thickBot="1" x14ac:dyDescent="0.3">
      <c r="W58" s="22" t="s">
        <v>60</v>
      </c>
    </row>
    <row r="59" spans="1:24" x14ac:dyDescent="0.25">
      <c r="W59" s="20" t="s">
        <v>61</v>
      </c>
      <c r="X59" s="20" t="s">
        <v>62</v>
      </c>
    </row>
    <row r="60" spans="1:24" x14ac:dyDescent="0.25">
      <c r="W60" s="23" t="s">
        <v>63</v>
      </c>
      <c r="X60" s="23" t="s">
        <v>64</v>
      </c>
    </row>
    <row r="61" spans="1:24" ht="15.75" thickBot="1" x14ac:dyDescent="0.3">
      <c r="W61" s="22" t="s">
        <v>65</v>
      </c>
      <c r="X61" s="22" t="s">
        <v>66</v>
      </c>
    </row>
    <row r="63" spans="1:24" x14ac:dyDescent="0.25">
      <c r="C63" s="24">
        <f>SUM(C3:C61)</f>
        <v>92</v>
      </c>
      <c r="D63" s="24">
        <f>SUM(D3:D61)</f>
        <v>92</v>
      </c>
      <c r="E63" s="24">
        <f>SUM(E3:E61)</f>
        <v>4</v>
      </c>
      <c r="F63" s="24">
        <f>SUM(F3:F61)</f>
        <v>0</v>
      </c>
      <c r="G63" s="24"/>
      <c r="H63" s="24"/>
      <c r="I63" s="24">
        <f>SUM(I3:I61)</f>
        <v>42</v>
      </c>
      <c r="J63" s="24">
        <f>SUM(J3:J61)</f>
        <v>42</v>
      </c>
      <c r="K63" s="24"/>
      <c r="L63" s="24">
        <f>SUM(L3:L61)</f>
        <v>0</v>
      </c>
      <c r="M63" s="24">
        <f>SUM(M3:M61)</f>
        <v>0</v>
      </c>
      <c r="O63" s="25"/>
      <c r="P63" s="25"/>
      <c r="Q63" s="24">
        <f t="shared" ref="Q63:V63" si="8">SUM(Q3:Q61)</f>
        <v>133</v>
      </c>
      <c r="R63" s="24">
        <f t="shared" si="8"/>
        <v>20</v>
      </c>
      <c r="S63" s="24">
        <f t="shared" si="8"/>
        <v>22</v>
      </c>
      <c r="T63" s="24">
        <f t="shared" si="8"/>
        <v>7</v>
      </c>
      <c r="U63" s="24">
        <f t="shared" si="8"/>
        <v>0</v>
      </c>
      <c r="V63" s="24">
        <f t="shared" si="8"/>
        <v>159</v>
      </c>
    </row>
    <row r="64" spans="1:24" x14ac:dyDescent="0.25">
      <c r="O64" s="25"/>
      <c r="P64" s="25"/>
    </row>
    <row r="65" spans="1:16" x14ac:dyDescent="0.25">
      <c r="A65" s="1" t="s">
        <v>67</v>
      </c>
      <c r="B65" s="12" t="s">
        <v>76</v>
      </c>
      <c r="O65" s="25"/>
      <c r="P65" s="25"/>
    </row>
    <row r="66" spans="1:16" x14ac:dyDescent="0.25">
      <c r="A66" s="1" t="s">
        <v>74</v>
      </c>
      <c r="B66" s="26" t="s">
        <v>75</v>
      </c>
      <c r="O66" s="25"/>
      <c r="P66" s="25"/>
    </row>
    <row r="67" spans="1:16" x14ac:dyDescent="0.25">
      <c r="A67" s="1" t="s">
        <v>79</v>
      </c>
      <c r="B67" s="26" t="s">
        <v>80</v>
      </c>
      <c r="O67" s="25"/>
      <c r="P67" s="25"/>
    </row>
    <row r="68" spans="1:16" x14ac:dyDescent="0.25">
      <c r="A68" s="1" t="s">
        <v>5</v>
      </c>
      <c r="B68" s="26" t="s">
        <v>81</v>
      </c>
      <c r="O68" s="25"/>
      <c r="P68" s="25"/>
    </row>
    <row r="69" spans="1:16" x14ac:dyDescent="0.25">
      <c r="A69" s="1" t="s">
        <v>74</v>
      </c>
      <c r="B69" s="26" t="s">
        <v>83</v>
      </c>
      <c r="O69" s="25"/>
      <c r="P69" s="25"/>
    </row>
    <row r="70" spans="1:16" x14ac:dyDescent="0.25">
      <c r="A70" s="1" t="s">
        <v>74</v>
      </c>
      <c r="B70" s="26" t="s">
        <v>85</v>
      </c>
      <c r="O70" s="25"/>
      <c r="P70" s="25"/>
    </row>
    <row r="71" spans="1:16" x14ac:dyDescent="0.25">
      <c r="A71" s="1" t="s">
        <v>5</v>
      </c>
      <c r="B71" s="26" t="s">
        <v>86</v>
      </c>
      <c r="O71" s="25"/>
      <c r="P71" s="25"/>
    </row>
    <row r="72" spans="1:16" x14ac:dyDescent="0.25">
      <c r="A72" s="1" t="s">
        <v>98</v>
      </c>
      <c r="B72" s="26" t="s">
        <v>99</v>
      </c>
      <c r="O72" s="25"/>
      <c r="P72" s="25"/>
    </row>
    <row r="73" spans="1:16" x14ac:dyDescent="0.25">
      <c r="B73" s="26"/>
      <c r="O73" s="27"/>
      <c r="P73" s="27"/>
    </row>
    <row r="74" spans="1:16" x14ac:dyDescent="0.25">
      <c r="B74" s="26"/>
      <c r="O74" s="27"/>
      <c r="P74" s="27"/>
    </row>
    <row r="75" spans="1:16" x14ac:dyDescent="0.25">
      <c r="B75" s="26"/>
      <c r="O75" s="25"/>
      <c r="P75" s="25"/>
    </row>
    <row r="76" spans="1:16" x14ac:dyDescent="0.25">
      <c r="B76" s="26"/>
      <c r="O76" s="25"/>
      <c r="P76" s="25"/>
    </row>
    <row r="77" spans="1:16" x14ac:dyDescent="0.25">
      <c r="B77" s="26"/>
      <c r="O77" s="25"/>
      <c r="P77" s="25"/>
    </row>
    <row r="78" spans="1:16" x14ac:dyDescent="0.25">
      <c r="B78" s="26"/>
      <c r="O78" s="25"/>
      <c r="P78" s="25"/>
    </row>
    <row r="79" spans="1:16" x14ac:dyDescent="0.25">
      <c r="B79" s="26"/>
      <c r="O79" s="25"/>
      <c r="P79" s="25"/>
    </row>
    <row r="80" spans="1:16" x14ac:dyDescent="0.25">
      <c r="B80" s="26"/>
      <c r="O80" s="25"/>
      <c r="P80" s="25"/>
    </row>
    <row r="81" spans="2:21" x14ac:dyDescent="0.25">
      <c r="B81" s="26"/>
      <c r="O81" s="25"/>
      <c r="P81" s="25"/>
    </row>
    <row r="82" spans="2:21" x14ac:dyDescent="0.25">
      <c r="B82" s="26"/>
      <c r="O82" s="27"/>
      <c r="P82" s="28"/>
    </row>
    <row r="83" spans="2:21" x14ac:dyDescent="0.25">
      <c r="B83" s="26"/>
      <c r="O83" s="27"/>
      <c r="P83" s="27"/>
    </row>
    <row r="84" spans="2:21" x14ac:dyDescent="0.25">
      <c r="B84" s="26"/>
      <c r="Q84" s="24"/>
      <c r="R84" s="24"/>
      <c r="S84" s="24"/>
      <c r="T84" s="24"/>
      <c r="U84" s="24"/>
    </row>
    <row r="85" spans="2:21" x14ac:dyDescent="0.25">
      <c r="B85" s="26"/>
    </row>
    <row r="86" spans="2:21" x14ac:dyDescent="0.25">
      <c r="B86" s="26"/>
    </row>
    <row r="87" spans="2:21" x14ac:dyDescent="0.25">
      <c r="B87" s="26"/>
    </row>
    <row r="88" spans="2:21" ht="16.5" customHeight="1" x14ac:dyDescent="0.25">
      <c r="B88" s="2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Standings  </vt:lpstr>
    </vt:vector>
  </TitlesOfParts>
  <Company>BC Assessment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johough</dc:creator>
  <cp:lastModifiedBy>johough</cp:lastModifiedBy>
  <dcterms:created xsi:type="dcterms:W3CDTF">2018-03-05T14:53:00Z</dcterms:created>
  <dcterms:modified xsi:type="dcterms:W3CDTF">2018-04-12T14:37:29Z</dcterms:modified>
</cp:coreProperties>
</file>